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613"/>
  <workbookPr autoCompressPictures="0"/>
  <bookViews>
    <workbookView xWindow="120" yWindow="40" windowWidth="23540" windowHeight="15720" activeTab="1"/>
  </bookViews>
  <sheets>
    <sheet name="EV Analysis Per Mile Compared" sheetId="1" r:id="rId1"/>
    <sheet name="Peak Demand EVs" sheetId="4" r:id="rId2"/>
    <sheet name="EV Infrastructure Costs" sheetId="3" r:id="rId3"/>
    <sheet name="Consumer Fuel Costs" sheetId="2" r:id="rId4"/>
    <sheet name="Environmental Costs" sheetId="5" r:id="rId5"/>
    <sheet name="DOE Projections" sheetId="6" r:id="rId6"/>
  </sheets>
  <definedNames>
    <definedName name="_ftn1" localSheetId="0">'EV Analysis Per Mile Compared'!$G$57</definedName>
    <definedName name="_ftn2" localSheetId="0">'EV Analysis Per Mile Compared'!$G$58</definedName>
    <definedName name="_ftn3" localSheetId="0">'EV Analysis Per Mile Compared'!$G$59</definedName>
    <definedName name="_ftn4" localSheetId="0">'EV Analysis Per Mile Compared'!$G$60</definedName>
    <definedName name="_ftnref1" localSheetId="0">'Consumer Fuel Costs'!$R$20</definedName>
    <definedName name="_ftnref2" localSheetId="0">'Consumer Fuel Costs'!$S$19</definedName>
    <definedName name="_ftnref3" localSheetId="0">'Consumer Fuel Costs'!$P$21</definedName>
    <definedName name="_ftnref4" localSheetId="0">'Consumer Fuel Costs'!$T$21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P16" i="1" l="1"/>
  <c r="AQ16" i="1"/>
  <c r="AR16" i="1"/>
  <c r="AS16" i="1"/>
  <c r="AT16" i="1"/>
  <c r="AU16" i="1"/>
  <c r="AP15" i="1"/>
  <c r="AQ15" i="1"/>
  <c r="AR15" i="1"/>
  <c r="AS15" i="1"/>
  <c r="AT15" i="1"/>
  <c r="AU15" i="1"/>
  <c r="T102" i="1"/>
  <c r="U102" i="1"/>
  <c r="C84" i="4"/>
  <c r="B100" i="4"/>
  <c r="J6" i="4"/>
  <c r="P61" i="4"/>
  <c r="C85" i="4"/>
  <c r="J7" i="4"/>
  <c r="P62" i="4"/>
  <c r="C86" i="4"/>
  <c r="J8" i="4"/>
  <c r="P63" i="4"/>
  <c r="P73" i="4"/>
  <c r="C87" i="4"/>
  <c r="J9" i="4"/>
  <c r="P64" i="4"/>
  <c r="C88" i="4"/>
  <c r="J10" i="4"/>
  <c r="P65" i="4"/>
  <c r="C89" i="4"/>
  <c r="J11" i="4"/>
  <c r="P66" i="4"/>
  <c r="C90" i="4"/>
  <c r="J12" i="4"/>
  <c r="P67" i="4"/>
  <c r="P72" i="4"/>
  <c r="D5" i="4"/>
  <c r="C83" i="4"/>
  <c r="J5" i="4"/>
  <c r="P60" i="4"/>
  <c r="P70" i="4"/>
  <c r="P71" i="4"/>
  <c r="P74" i="4"/>
  <c r="P75" i="4"/>
  <c r="P76" i="4"/>
  <c r="P77" i="4"/>
  <c r="D6" i="4"/>
  <c r="D7" i="4"/>
  <c r="D8" i="4"/>
  <c r="D9" i="4"/>
  <c r="D10" i="4"/>
  <c r="D11" i="4"/>
  <c r="D12" i="4"/>
  <c r="M30" i="4"/>
  <c r="L30" i="4"/>
  <c r="AF54" i="1"/>
  <c r="AE57" i="1"/>
  <c r="AC54" i="1"/>
  <c r="AB54" i="1"/>
  <c r="AE61" i="1"/>
  <c r="C15" i="6"/>
  <c r="G15" i="6"/>
  <c r="C16" i="6"/>
  <c r="G16" i="6"/>
  <c r="C17" i="6"/>
  <c r="G17" i="6"/>
  <c r="C18" i="6"/>
  <c r="G18" i="6"/>
  <c r="C21" i="6"/>
  <c r="G21" i="6"/>
  <c r="C14" i="6"/>
  <c r="G14" i="6"/>
  <c r="G13" i="6"/>
  <c r="E25" i="6"/>
  <c r="E26" i="6"/>
  <c r="E24" i="6"/>
  <c r="E31" i="6"/>
  <c r="E30" i="6"/>
  <c r="E29" i="6"/>
  <c r="E28" i="6"/>
  <c r="E27" i="6"/>
  <c r="C31" i="6"/>
  <c r="F29" i="6"/>
  <c r="F30" i="6"/>
  <c r="C30" i="6"/>
  <c r="C29" i="6"/>
  <c r="C28" i="6"/>
  <c r="C27" i="6"/>
  <c r="C26" i="6"/>
  <c r="C25" i="6"/>
  <c r="C24" i="6"/>
  <c r="E15" i="6"/>
  <c r="E16" i="6"/>
  <c r="E17" i="6"/>
  <c r="E18" i="6"/>
  <c r="E21" i="6"/>
  <c r="E14" i="6"/>
  <c r="D15" i="6"/>
  <c r="D16" i="6"/>
  <c r="D17" i="6"/>
  <c r="D18" i="6"/>
  <c r="D21" i="6"/>
  <c r="D14" i="6"/>
  <c r="P249" i="1"/>
  <c r="Q249" i="1"/>
  <c r="O253" i="1"/>
  <c r="O255" i="1"/>
  <c r="P248" i="1"/>
  <c r="Q248" i="1"/>
  <c r="R248" i="1"/>
  <c r="S248" i="1"/>
  <c r="T248" i="1"/>
  <c r="AD16" i="1"/>
  <c r="AD58" i="1"/>
  <c r="AE16" i="1"/>
  <c r="AE58" i="1"/>
  <c r="AF16" i="1"/>
  <c r="AF58" i="1"/>
  <c r="AG16" i="1"/>
  <c r="AG58" i="1"/>
  <c r="AH16" i="1"/>
  <c r="AH58" i="1"/>
  <c r="AI16" i="1"/>
  <c r="AI58" i="1"/>
  <c r="AJ16" i="1"/>
  <c r="AJ58" i="1"/>
  <c r="AK16" i="1"/>
  <c r="AK58" i="1"/>
  <c r="AL16" i="1"/>
  <c r="AL58" i="1"/>
  <c r="AM16" i="1"/>
  <c r="AM58" i="1"/>
  <c r="AN16" i="1"/>
  <c r="AN58" i="1"/>
  <c r="AO16" i="1"/>
  <c r="AO58" i="1"/>
  <c r="AP38" i="1"/>
  <c r="AQ39" i="1"/>
  <c r="AR39" i="1"/>
  <c r="AS39" i="1"/>
  <c r="AT39" i="1"/>
  <c r="AU39" i="1"/>
  <c r="AC16" i="1"/>
  <c r="AC58" i="1"/>
  <c r="P13" i="1"/>
  <c r="AG10" i="1"/>
  <c r="AC15" i="1"/>
  <c r="AD10" i="1"/>
  <c r="AC10" i="1"/>
  <c r="AE20" i="1"/>
  <c r="P10" i="1"/>
  <c r="T26" i="1"/>
  <c r="M99" i="1"/>
  <c r="N99" i="1"/>
  <c r="O99" i="1"/>
  <c r="P99" i="1"/>
  <c r="L99" i="1"/>
  <c r="V38" i="1"/>
  <c r="V37" i="1"/>
  <c r="U159" i="1"/>
  <c r="M26" i="1"/>
  <c r="N26" i="1"/>
  <c r="O26" i="1"/>
  <c r="L26" i="1"/>
  <c r="V34" i="1"/>
  <c r="M90" i="1"/>
  <c r="O90" i="1"/>
  <c r="Q73" i="1"/>
  <c r="R73" i="1"/>
  <c r="V30" i="1"/>
  <c r="V31" i="1"/>
  <c r="V39" i="1"/>
  <c r="P102" i="1"/>
  <c r="X19" i="1"/>
  <c r="Y19" i="1"/>
  <c r="X20" i="1"/>
  <c r="Y20" i="1"/>
  <c r="R29" i="1"/>
  <c r="Q29" i="1"/>
  <c r="W20" i="1"/>
  <c r="R99" i="1"/>
  <c r="V20" i="1"/>
  <c r="W19" i="1"/>
  <c r="V19" i="1"/>
  <c r="S25" i="1"/>
  <c r="S28" i="1"/>
  <c r="P14" i="1"/>
  <c r="T25" i="1"/>
  <c r="P82" i="1"/>
  <c r="N98" i="1"/>
  <c r="P84" i="1"/>
  <c r="M98" i="1"/>
  <c r="B154" i="4"/>
  <c r="B155" i="4"/>
  <c r="B156" i="4"/>
  <c r="B157" i="4"/>
  <c r="B158" i="4"/>
  <c r="B159" i="4"/>
  <c r="B160" i="4"/>
  <c r="B161" i="4"/>
  <c r="B162" i="4"/>
  <c r="B163" i="4"/>
  <c r="J31" i="3"/>
  <c r="D19" i="3"/>
  <c r="B99" i="4"/>
  <c r="AT57" i="1"/>
  <c r="AT60" i="1"/>
  <c r="AR57" i="1"/>
  <c r="AR60" i="1"/>
  <c r="AR61" i="1"/>
  <c r="AR62" i="1"/>
  <c r="AP57" i="1"/>
  <c r="AP60" i="1"/>
  <c r="AT61" i="1"/>
  <c r="AP61" i="1"/>
  <c r="AU57" i="1"/>
  <c r="AU60" i="1"/>
  <c r="AU61" i="1"/>
  <c r="AU62" i="1"/>
  <c r="AS57" i="1"/>
  <c r="AS60" i="1"/>
  <c r="AQ57" i="1"/>
  <c r="AQ60" i="1"/>
  <c r="AQ61" i="1"/>
  <c r="AQ62" i="1"/>
  <c r="AS61" i="1"/>
  <c r="P253" i="1"/>
  <c r="P255" i="1"/>
  <c r="Q255" i="1"/>
  <c r="R255" i="1"/>
  <c r="T255" i="1"/>
  <c r="AC57" i="1"/>
  <c r="AN57" i="1"/>
  <c r="AL57" i="1"/>
  <c r="AJ57" i="1"/>
  <c r="AH57" i="1"/>
  <c r="AF57" i="1"/>
  <c r="AD57" i="1"/>
  <c r="AC61" i="1"/>
  <c r="AN61" i="1"/>
  <c r="AL61" i="1"/>
  <c r="AJ61" i="1"/>
  <c r="AH61" i="1"/>
  <c r="AF61" i="1"/>
  <c r="AD61" i="1"/>
  <c r="AO57" i="1"/>
  <c r="AM57" i="1"/>
  <c r="AK57" i="1"/>
  <c r="AI57" i="1"/>
  <c r="AG57" i="1"/>
  <c r="AO61" i="1"/>
  <c r="AM61" i="1"/>
  <c r="AK61" i="1"/>
  <c r="AI61" i="1"/>
  <c r="AG61" i="1"/>
  <c r="R249" i="1"/>
  <c r="R253" i="1"/>
  <c r="Q253" i="1"/>
  <c r="S249" i="1"/>
  <c r="AE15" i="1"/>
  <c r="AG15" i="1"/>
  <c r="AI15" i="1"/>
  <c r="AK15" i="1"/>
  <c r="AM15" i="1"/>
  <c r="AO15" i="1"/>
  <c r="AQ38" i="1"/>
  <c r="AS38" i="1"/>
  <c r="AU38" i="1"/>
  <c r="AT40" i="1"/>
  <c r="AR40" i="1"/>
  <c r="AP39" i="1"/>
  <c r="AN17" i="1"/>
  <c r="AN59" i="1"/>
  <c r="AL17" i="1"/>
  <c r="AL59" i="1"/>
  <c r="AJ17" i="1"/>
  <c r="AJ59" i="1"/>
  <c r="AH17" i="1"/>
  <c r="AH59" i="1"/>
  <c r="AF17" i="1"/>
  <c r="AF59" i="1"/>
  <c r="AD17" i="1"/>
  <c r="AD59" i="1"/>
  <c r="AC20" i="1"/>
  <c r="AN20" i="1"/>
  <c r="AL20" i="1"/>
  <c r="AJ20" i="1"/>
  <c r="AH20" i="1"/>
  <c r="AF20" i="1"/>
  <c r="AD20" i="1"/>
  <c r="AD15" i="1"/>
  <c r="AD19" i="1"/>
  <c r="AF15" i="1"/>
  <c r="AF19" i="1"/>
  <c r="AH15" i="1"/>
  <c r="AH19" i="1"/>
  <c r="AJ15" i="1"/>
  <c r="AJ19" i="1"/>
  <c r="AL15" i="1"/>
  <c r="AL19" i="1"/>
  <c r="AN15" i="1"/>
  <c r="AN19" i="1"/>
  <c r="AP37" i="1"/>
  <c r="AP40" i="1"/>
  <c r="AR38" i="1"/>
  <c r="AR41" i="1"/>
  <c r="AT38" i="1"/>
  <c r="AT41" i="1"/>
  <c r="AC17" i="1"/>
  <c r="AU40" i="1"/>
  <c r="AS40" i="1"/>
  <c r="AQ40" i="1"/>
  <c r="AO17" i="1"/>
  <c r="AO59" i="1"/>
  <c r="AM17" i="1"/>
  <c r="AM59" i="1"/>
  <c r="AK17" i="1"/>
  <c r="AK59" i="1"/>
  <c r="AI17" i="1"/>
  <c r="AI59" i="1"/>
  <c r="AG17" i="1"/>
  <c r="AG59" i="1"/>
  <c r="AE17" i="1"/>
  <c r="AE59" i="1"/>
  <c r="AE60" i="1"/>
  <c r="AO20" i="1"/>
  <c r="AM20" i="1"/>
  <c r="AK20" i="1"/>
  <c r="AI20" i="1"/>
  <c r="AG20" i="1"/>
  <c r="Q26" i="1"/>
  <c r="U99" i="1"/>
  <c r="N159" i="1"/>
  <c r="P159" i="1"/>
  <c r="R159" i="1"/>
  <c r="T159" i="1"/>
  <c r="W159" i="1"/>
  <c r="W160" i="1"/>
  <c r="U160" i="1"/>
  <c r="S160" i="1"/>
  <c r="Q160" i="1"/>
  <c r="O160" i="1"/>
  <c r="V159" i="1"/>
  <c r="O159" i="1"/>
  <c r="Q159" i="1"/>
  <c r="S159" i="1"/>
  <c r="N160" i="1"/>
  <c r="V160" i="1"/>
  <c r="T160" i="1"/>
  <c r="R160" i="1"/>
  <c r="P160" i="1"/>
  <c r="N90" i="1"/>
  <c r="N92" i="1"/>
  <c r="T99" i="1"/>
  <c r="P26" i="1"/>
  <c r="R26" i="1"/>
  <c r="S99" i="1"/>
  <c r="N100" i="1"/>
  <c r="N101" i="1"/>
  <c r="N103" i="1"/>
  <c r="P100" i="1"/>
  <c r="R100" i="1"/>
  <c r="T100" i="1"/>
  <c r="L100" i="1"/>
  <c r="N27" i="1"/>
  <c r="P27" i="1"/>
  <c r="R27" i="1"/>
  <c r="M100" i="1"/>
  <c r="M101" i="1"/>
  <c r="M104" i="1"/>
  <c r="O100" i="1"/>
  <c r="T27" i="1"/>
  <c r="S100" i="1"/>
  <c r="U100" i="1"/>
  <c r="M27" i="1"/>
  <c r="O27" i="1"/>
  <c r="Q27" i="1"/>
  <c r="L27" i="1"/>
  <c r="N106" i="1"/>
  <c r="R209" i="4"/>
  <c r="C147" i="4"/>
  <c r="AB6" i="4"/>
  <c r="AF6" i="4"/>
  <c r="AG6" i="4"/>
  <c r="AA18" i="4"/>
  <c r="I65" i="2"/>
  <c r="I66" i="2"/>
  <c r="I67" i="2"/>
  <c r="I68" i="2"/>
  <c r="I69" i="2"/>
  <c r="I70" i="2"/>
  <c r="I71" i="2"/>
  <c r="I64" i="2"/>
  <c r="H65" i="2"/>
  <c r="H66" i="2"/>
  <c r="H67" i="2"/>
  <c r="H68" i="2"/>
  <c r="H69" i="2"/>
  <c r="H70" i="2"/>
  <c r="H71" i="2"/>
  <c r="H64" i="2"/>
  <c r="G65" i="2"/>
  <c r="G66" i="2"/>
  <c r="G67" i="2"/>
  <c r="G68" i="2"/>
  <c r="G69" i="2"/>
  <c r="G70" i="2"/>
  <c r="G71" i="2"/>
  <c r="G64" i="2"/>
  <c r="AG46" i="2"/>
  <c r="AD34" i="2"/>
  <c r="AD35" i="2"/>
  <c r="Z41" i="2"/>
  <c r="AC41" i="2"/>
  <c r="Z40" i="2"/>
  <c r="Z50" i="2"/>
  <c r="Z39" i="2"/>
  <c r="AC39" i="2"/>
  <c r="Z38" i="2"/>
  <c r="Z48" i="2"/>
  <c r="Z37" i="2"/>
  <c r="AC37" i="2"/>
  <c r="Z36" i="2"/>
  <c r="Z46" i="2"/>
  <c r="Z35" i="2"/>
  <c r="AC35" i="2"/>
  <c r="Z34" i="2"/>
  <c r="Z44" i="2"/>
  <c r="AE64" i="1"/>
  <c r="AE68" i="1"/>
  <c r="AE63" i="1"/>
  <c r="AE67" i="1"/>
  <c r="AE71" i="1"/>
  <c r="AE66" i="1"/>
  <c r="AE70" i="1"/>
  <c r="AE65" i="1"/>
  <c r="AE69" i="1"/>
  <c r="AE62" i="1"/>
  <c r="AQ63" i="1"/>
  <c r="AQ64" i="1"/>
  <c r="AQ65" i="1"/>
  <c r="AQ66" i="1"/>
  <c r="AQ67" i="1"/>
  <c r="AQ68" i="1"/>
  <c r="AQ69" i="1"/>
  <c r="AQ70" i="1"/>
  <c r="AQ71" i="1"/>
  <c r="AU63" i="1"/>
  <c r="AU64" i="1"/>
  <c r="AU65" i="1"/>
  <c r="AU66" i="1"/>
  <c r="AU67" i="1"/>
  <c r="AU68" i="1"/>
  <c r="AU69" i="1"/>
  <c r="AU70" i="1"/>
  <c r="AU71" i="1"/>
  <c r="AR63" i="1"/>
  <c r="AR64" i="1"/>
  <c r="AR65" i="1"/>
  <c r="AR66" i="1"/>
  <c r="AR67" i="1"/>
  <c r="AR68" i="1"/>
  <c r="AR69" i="1"/>
  <c r="AR70" i="1"/>
  <c r="AR71" i="1"/>
  <c r="AG60" i="1"/>
  <c r="AK60" i="1"/>
  <c r="AO60" i="1"/>
  <c r="AD60" i="1"/>
  <c r="AH60" i="1"/>
  <c r="AL60" i="1"/>
  <c r="AS62" i="1"/>
  <c r="AP62" i="1"/>
  <c r="AT62" i="1"/>
  <c r="AS63" i="1"/>
  <c r="AS64" i="1"/>
  <c r="AS65" i="1"/>
  <c r="AS66" i="1"/>
  <c r="AS67" i="1"/>
  <c r="AS68" i="1"/>
  <c r="AS69" i="1"/>
  <c r="AS70" i="1"/>
  <c r="AS71" i="1"/>
  <c r="AP63" i="1"/>
  <c r="AP64" i="1"/>
  <c r="AP65" i="1"/>
  <c r="AP66" i="1"/>
  <c r="AP67" i="1"/>
  <c r="AP68" i="1"/>
  <c r="AP69" i="1"/>
  <c r="AP70" i="1"/>
  <c r="AP71" i="1"/>
  <c r="AT63" i="1"/>
  <c r="AT64" i="1"/>
  <c r="AT65" i="1"/>
  <c r="AT66" i="1"/>
  <c r="AT67" i="1"/>
  <c r="AT68" i="1"/>
  <c r="AT69" i="1"/>
  <c r="AT70" i="1"/>
  <c r="AT71" i="1"/>
  <c r="AI60" i="1"/>
  <c r="AM60" i="1"/>
  <c r="AF60" i="1"/>
  <c r="AJ60" i="1"/>
  <c r="AN60" i="1"/>
  <c r="AF30" i="1"/>
  <c r="AF23" i="1"/>
  <c r="AF25" i="1"/>
  <c r="AF27" i="1"/>
  <c r="AF29" i="1"/>
  <c r="AF21" i="1"/>
  <c r="AF22" i="1"/>
  <c r="AF24" i="1"/>
  <c r="AF26" i="1"/>
  <c r="AF28" i="1"/>
  <c r="AJ30" i="1"/>
  <c r="AJ23" i="1"/>
  <c r="AJ25" i="1"/>
  <c r="AJ27" i="1"/>
  <c r="AJ29" i="1"/>
  <c r="AJ21" i="1"/>
  <c r="AJ22" i="1"/>
  <c r="AJ24" i="1"/>
  <c r="AJ26" i="1"/>
  <c r="AJ28" i="1"/>
  <c r="AN30" i="1"/>
  <c r="AN23" i="1"/>
  <c r="AN25" i="1"/>
  <c r="AN27" i="1"/>
  <c r="AN29" i="1"/>
  <c r="AN21" i="1"/>
  <c r="AN22" i="1"/>
  <c r="AN24" i="1"/>
  <c r="AN26" i="1"/>
  <c r="AN28" i="1"/>
  <c r="AG64" i="1"/>
  <c r="AG66" i="1"/>
  <c r="AG68" i="1"/>
  <c r="AG70" i="1"/>
  <c r="AG63" i="1"/>
  <c r="AG65" i="1"/>
  <c r="AG67" i="1"/>
  <c r="AG69" i="1"/>
  <c r="AG71" i="1"/>
  <c r="AG62" i="1"/>
  <c r="AK64" i="1"/>
  <c r="AK66" i="1"/>
  <c r="AK68" i="1"/>
  <c r="AK70" i="1"/>
  <c r="AK63" i="1"/>
  <c r="AK65" i="1"/>
  <c r="AK67" i="1"/>
  <c r="AK69" i="1"/>
  <c r="AK71" i="1"/>
  <c r="AK62" i="1"/>
  <c r="AO64" i="1"/>
  <c r="AO66" i="1"/>
  <c r="AO68" i="1"/>
  <c r="AO70" i="1"/>
  <c r="AO63" i="1"/>
  <c r="AO65" i="1"/>
  <c r="AO67" i="1"/>
  <c r="AO69" i="1"/>
  <c r="AO71" i="1"/>
  <c r="AO62" i="1"/>
  <c r="AF63" i="1"/>
  <c r="AF65" i="1"/>
  <c r="AF67" i="1"/>
  <c r="AF69" i="1"/>
  <c r="AF71" i="1"/>
  <c r="AF62" i="1"/>
  <c r="AF64" i="1"/>
  <c r="AF66" i="1"/>
  <c r="AF68" i="1"/>
  <c r="AF70" i="1"/>
  <c r="AJ63" i="1"/>
  <c r="AJ65" i="1"/>
  <c r="AJ67" i="1"/>
  <c r="AJ69" i="1"/>
  <c r="AJ71" i="1"/>
  <c r="AJ62" i="1"/>
  <c r="AJ64" i="1"/>
  <c r="AJ66" i="1"/>
  <c r="AJ68" i="1"/>
  <c r="AJ70" i="1"/>
  <c r="AN63" i="1"/>
  <c r="AN65" i="1"/>
  <c r="AN67" i="1"/>
  <c r="AN69" i="1"/>
  <c r="AN71" i="1"/>
  <c r="AN62" i="1"/>
  <c r="AN64" i="1"/>
  <c r="AN66" i="1"/>
  <c r="AN68" i="1"/>
  <c r="AN70" i="1"/>
  <c r="AC19" i="1"/>
  <c r="AC24" i="1"/>
  <c r="AC59" i="1"/>
  <c r="AC60" i="1"/>
  <c r="AD30" i="1"/>
  <c r="AD23" i="1"/>
  <c r="AD25" i="1"/>
  <c r="AD27" i="1"/>
  <c r="AD29" i="1"/>
  <c r="AD21" i="1"/>
  <c r="AD22" i="1"/>
  <c r="AD24" i="1"/>
  <c r="AD26" i="1"/>
  <c r="AD28" i="1"/>
  <c r="AH30" i="1"/>
  <c r="AH23" i="1"/>
  <c r="AH25" i="1"/>
  <c r="AH27" i="1"/>
  <c r="AH29" i="1"/>
  <c r="AH21" i="1"/>
  <c r="AH22" i="1"/>
  <c r="AH24" i="1"/>
  <c r="AH26" i="1"/>
  <c r="AH28" i="1"/>
  <c r="AL30" i="1"/>
  <c r="AL23" i="1"/>
  <c r="AL25" i="1"/>
  <c r="AL27" i="1"/>
  <c r="AL29" i="1"/>
  <c r="AL21" i="1"/>
  <c r="AL22" i="1"/>
  <c r="AL24" i="1"/>
  <c r="AL26" i="1"/>
  <c r="AL28" i="1"/>
  <c r="AC22" i="1"/>
  <c r="AC26" i="1"/>
  <c r="AC21" i="1"/>
  <c r="AC23" i="1"/>
  <c r="AC27" i="1"/>
  <c r="AI64" i="1"/>
  <c r="AI66" i="1"/>
  <c r="AI68" i="1"/>
  <c r="AI70" i="1"/>
  <c r="AI63" i="1"/>
  <c r="AI65" i="1"/>
  <c r="AI67" i="1"/>
  <c r="AI69" i="1"/>
  <c r="AI71" i="1"/>
  <c r="AI62" i="1"/>
  <c r="AM64" i="1"/>
  <c r="AM66" i="1"/>
  <c r="AM68" i="1"/>
  <c r="AM70" i="1"/>
  <c r="AM63" i="1"/>
  <c r="AM65" i="1"/>
  <c r="AM67" i="1"/>
  <c r="AM69" i="1"/>
  <c r="AM71" i="1"/>
  <c r="AM62" i="1"/>
  <c r="AD63" i="1"/>
  <c r="AD65" i="1"/>
  <c r="AD67" i="1"/>
  <c r="AD69" i="1"/>
  <c r="AD71" i="1"/>
  <c r="AD62" i="1"/>
  <c r="AD64" i="1"/>
  <c r="AD66" i="1"/>
  <c r="AD68" i="1"/>
  <c r="AD70" i="1"/>
  <c r="AH63" i="1"/>
  <c r="AH65" i="1"/>
  <c r="AH67" i="1"/>
  <c r="AH69" i="1"/>
  <c r="AH71" i="1"/>
  <c r="AH62" i="1"/>
  <c r="AH64" i="1"/>
  <c r="AH66" i="1"/>
  <c r="AH68" i="1"/>
  <c r="AH70" i="1"/>
  <c r="AL63" i="1"/>
  <c r="AL65" i="1"/>
  <c r="AL67" i="1"/>
  <c r="AL69" i="1"/>
  <c r="AL71" i="1"/>
  <c r="AL62" i="1"/>
  <c r="AL64" i="1"/>
  <c r="AL66" i="1"/>
  <c r="AL68" i="1"/>
  <c r="AL70" i="1"/>
  <c r="T249" i="1"/>
  <c r="S253" i="1"/>
  <c r="S255" i="1"/>
  <c r="AS41" i="1"/>
  <c r="AO19" i="1"/>
  <c r="AO24" i="1"/>
  <c r="AK19" i="1"/>
  <c r="AK24" i="1"/>
  <c r="AG19" i="1"/>
  <c r="AG24" i="1"/>
  <c r="AU41" i="1"/>
  <c r="AQ41" i="1"/>
  <c r="AM19" i="1"/>
  <c r="AM24" i="1"/>
  <c r="AI19" i="1"/>
  <c r="AI24" i="1"/>
  <c r="AE19" i="1"/>
  <c r="M110" i="1"/>
  <c r="N109" i="1"/>
  <c r="N110" i="1"/>
  <c r="N105" i="1"/>
  <c r="M107" i="1"/>
  <c r="M106" i="1"/>
  <c r="M111" i="1"/>
  <c r="N104" i="1"/>
  <c r="N108" i="1"/>
  <c r="N112" i="1"/>
  <c r="M108" i="1"/>
  <c r="M112" i="1"/>
  <c r="N107" i="1"/>
  <c r="N111" i="1"/>
  <c r="M105" i="1"/>
  <c r="M109" i="1"/>
  <c r="M103" i="1"/>
  <c r="AB7" i="4"/>
  <c r="AB8" i="4"/>
  <c r="G6" i="4"/>
  <c r="K6" i="4"/>
  <c r="Q61" i="4"/>
  <c r="Q71" i="4"/>
  <c r="K8" i="4"/>
  <c r="Q63" i="4"/>
  <c r="Q73" i="4"/>
  <c r="G8" i="4"/>
  <c r="G10" i="4"/>
  <c r="K10" i="4"/>
  <c r="Q65" i="4"/>
  <c r="Q75" i="4"/>
  <c r="K12" i="4"/>
  <c r="Q67" i="4"/>
  <c r="Q77" i="4"/>
  <c r="G12" i="4"/>
  <c r="K5" i="4"/>
  <c r="Q60" i="4"/>
  <c r="Q70" i="4"/>
  <c r="G5" i="4"/>
  <c r="G7" i="4"/>
  <c r="K7" i="4"/>
  <c r="Q62" i="4"/>
  <c r="Q72" i="4"/>
  <c r="K9" i="4"/>
  <c r="Q64" i="4"/>
  <c r="Q74" i="4"/>
  <c r="G9" i="4"/>
  <c r="K11" i="4"/>
  <c r="Q66" i="4"/>
  <c r="Q76" i="4"/>
  <c r="G11" i="4"/>
  <c r="I6" i="4"/>
  <c r="O61" i="4"/>
  <c r="O71" i="4"/>
  <c r="I8" i="4"/>
  <c r="O63" i="4"/>
  <c r="O73" i="4"/>
  <c r="I10" i="4"/>
  <c r="O65" i="4"/>
  <c r="O75" i="4"/>
  <c r="I12" i="4"/>
  <c r="O67" i="4"/>
  <c r="O77" i="4"/>
  <c r="F5" i="4"/>
  <c r="I5" i="4"/>
  <c r="O60" i="4"/>
  <c r="O70" i="4"/>
  <c r="I7" i="4"/>
  <c r="O62" i="4"/>
  <c r="O72" i="4"/>
  <c r="I9" i="4"/>
  <c r="O64" i="4"/>
  <c r="O74" i="4"/>
  <c r="I11" i="4"/>
  <c r="O66" i="4"/>
  <c r="O76" i="4"/>
  <c r="I26" i="4"/>
  <c r="J26" i="4"/>
  <c r="I28" i="4"/>
  <c r="J28" i="4"/>
  <c r="F7" i="4"/>
  <c r="I30" i="4"/>
  <c r="J30" i="4"/>
  <c r="F9" i="4"/>
  <c r="I32" i="4"/>
  <c r="J32" i="4"/>
  <c r="F11" i="4"/>
  <c r="J27" i="4"/>
  <c r="I27" i="4"/>
  <c r="F6" i="4"/>
  <c r="J29" i="4"/>
  <c r="F8" i="4"/>
  <c r="C18" i="4"/>
  <c r="F18" i="4"/>
  <c r="I29" i="4"/>
  <c r="J31" i="4"/>
  <c r="I31" i="4"/>
  <c r="F10" i="4"/>
  <c r="J33" i="4"/>
  <c r="F12" i="4"/>
  <c r="C22" i="4"/>
  <c r="F22" i="4"/>
  <c r="I33" i="4"/>
  <c r="E5" i="4"/>
  <c r="E7" i="4"/>
  <c r="E9" i="4"/>
  <c r="E11" i="4"/>
  <c r="E6" i="4"/>
  <c r="E8" i="4"/>
  <c r="E10" i="4"/>
  <c r="E12" i="4"/>
  <c r="T143" i="4"/>
  <c r="G153" i="4"/>
  <c r="G154" i="4"/>
  <c r="AF8" i="4"/>
  <c r="AG8" i="4"/>
  <c r="AB9" i="4"/>
  <c r="AH6" i="4"/>
  <c r="AF7" i="4"/>
  <c r="AG7" i="4"/>
  <c r="U143" i="4"/>
  <c r="AB13" i="4"/>
  <c r="AD13" i="4"/>
  <c r="C21" i="4"/>
  <c r="F21" i="4"/>
  <c r="AJ34" i="2"/>
  <c r="Y51" i="2"/>
  <c r="Y49" i="2"/>
  <c r="Y47" i="2"/>
  <c r="Y45" i="2"/>
  <c r="Z51" i="2"/>
  <c r="Z49" i="2"/>
  <c r="Z47" i="2"/>
  <c r="Z45" i="2"/>
  <c r="Y44" i="2"/>
  <c r="Y50" i="2"/>
  <c r="Y48" i="2"/>
  <c r="Y46" i="2"/>
  <c r="AA41" i="2"/>
  <c r="AH35" i="2"/>
  <c r="AI35" i="2"/>
  <c r="AD36" i="2"/>
  <c r="AC40" i="2"/>
  <c r="AE40" i="2"/>
  <c r="AC38" i="2"/>
  <c r="AE38" i="2"/>
  <c r="AC36" i="2"/>
  <c r="AE36" i="2"/>
  <c r="AC34" i="2"/>
  <c r="AE35" i="2"/>
  <c r="AA39" i="2"/>
  <c r="AA37" i="2"/>
  <c r="AA35" i="2"/>
  <c r="AH34" i="2"/>
  <c r="AI34" i="2"/>
  <c r="AC64" i="1"/>
  <c r="AC68" i="1"/>
  <c r="AC65" i="1"/>
  <c r="AC69" i="1"/>
  <c r="AC66" i="1"/>
  <c r="AC70" i="1"/>
  <c r="AC63" i="1"/>
  <c r="AC67" i="1"/>
  <c r="AC71" i="1"/>
  <c r="AC62" i="1"/>
  <c r="AE29" i="1"/>
  <c r="AE25" i="1"/>
  <c r="AE30" i="1"/>
  <c r="AE26" i="1"/>
  <c r="AE22" i="1"/>
  <c r="AE21" i="1"/>
  <c r="AE27" i="1"/>
  <c r="AE23" i="1"/>
  <c r="AE28" i="1"/>
  <c r="AE24" i="1"/>
  <c r="AC29" i="1"/>
  <c r="AC25" i="1"/>
  <c r="AC30" i="1"/>
  <c r="AC28" i="1"/>
  <c r="AM29" i="1"/>
  <c r="AM25" i="1"/>
  <c r="AM30" i="1"/>
  <c r="AM26" i="1"/>
  <c r="AM22" i="1"/>
  <c r="AI29" i="1"/>
  <c r="AI25" i="1"/>
  <c r="AI30" i="1"/>
  <c r="AI26" i="1"/>
  <c r="AI22" i="1"/>
  <c r="AO29" i="1"/>
  <c r="AO25" i="1"/>
  <c r="AO30" i="1"/>
  <c r="AO26" i="1"/>
  <c r="AO22" i="1"/>
  <c r="AK29" i="1"/>
  <c r="AK25" i="1"/>
  <c r="AK30" i="1"/>
  <c r="AK26" i="1"/>
  <c r="AK22" i="1"/>
  <c r="AG29" i="1"/>
  <c r="AG25" i="1"/>
  <c r="AG30" i="1"/>
  <c r="AG26" i="1"/>
  <c r="AG22" i="1"/>
  <c r="AM21" i="1"/>
  <c r="AM27" i="1"/>
  <c r="AM23" i="1"/>
  <c r="AM28" i="1"/>
  <c r="AI21" i="1"/>
  <c r="AI27" i="1"/>
  <c r="AI23" i="1"/>
  <c r="AI28" i="1"/>
  <c r="AO21" i="1"/>
  <c r="AO27" i="1"/>
  <c r="AO23" i="1"/>
  <c r="AO28" i="1"/>
  <c r="AK21" i="1"/>
  <c r="AK27" i="1"/>
  <c r="AK23" i="1"/>
  <c r="AK28" i="1"/>
  <c r="AG21" i="1"/>
  <c r="AG27" i="1"/>
  <c r="AG23" i="1"/>
  <c r="AG28" i="1"/>
  <c r="T253" i="1"/>
  <c r="Q39" i="4"/>
  <c r="Q49" i="4"/>
  <c r="Q42" i="4"/>
  <c r="Q52" i="4"/>
  <c r="Q38" i="4"/>
  <c r="Q48" i="4"/>
  <c r="Q43" i="4"/>
  <c r="Q53" i="4"/>
  <c r="Q41" i="4"/>
  <c r="Q51" i="4"/>
  <c r="Q37" i="4"/>
  <c r="Q47" i="4"/>
  <c r="Q44" i="4"/>
  <c r="Q54" i="4"/>
  <c r="Q40" i="4"/>
  <c r="Q50" i="4"/>
  <c r="O44" i="4"/>
  <c r="O54" i="4"/>
  <c r="O40" i="4"/>
  <c r="O50" i="4"/>
  <c r="O43" i="4"/>
  <c r="O53" i="4"/>
  <c r="O39" i="4"/>
  <c r="O49" i="4"/>
  <c r="P44" i="4"/>
  <c r="P54" i="4"/>
  <c r="P42" i="4"/>
  <c r="P52" i="4"/>
  <c r="P40" i="4"/>
  <c r="P50" i="4"/>
  <c r="C16" i="4"/>
  <c r="F16" i="4"/>
  <c r="F27" i="4"/>
  <c r="P38" i="4"/>
  <c r="P48" i="4"/>
  <c r="C19" i="4"/>
  <c r="F19" i="4"/>
  <c r="C30" i="4"/>
  <c r="P41" i="4"/>
  <c r="P51" i="4"/>
  <c r="C15" i="4"/>
  <c r="F15" i="4"/>
  <c r="F26" i="4"/>
  <c r="P37" i="4"/>
  <c r="P47" i="4"/>
  <c r="O42" i="4"/>
  <c r="O52" i="4"/>
  <c r="O38" i="4"/>
  <c r="O48" i="4"/>
  <c r="O41" i="4"/>
  <c r="O51" i="4"/>
  <c r="O37" i="4"/>
  <c r="O47" i="4"/>
  <c r="P43" i="4"/>
  <c r="P53" i="4"/>
  <c r="C17" i="4"/>
  <c r="F17" i="4"/>
  <c r="P39" i="4"/>
  <c r="P49" i="4"/>
  <c r="J66" i="4"/>
  <c r="J76" i="4"/>
  <c r="F66" i="4"/>
  <c r="F76" i="4"/>
  <c r="J64" i="4"/>
  <c r="J74" i="4"/>
  <c r="F64" i="4"/>
  <c r="F74" i="4"/>
  <c r="J62" i="4"/>
  <c r="J72" i="4"/>
  <c r="F62" i="4"/>
  <c r="F72" i="4"/>
  <c r="J60" i="4"/>
  <c r="J70" i="4"/>
  <c r="F60" i="4"/>
  <c r="F70" i="4"/>
  <c r="J67" i="4"/>
  <c r="J77" i="4"/>
  <c r="F67" i="4"/>
  <c r="F77" i="4"/>
  <c r="K65" i="4"/>
  <c r="K75" i="4"/>
  <c r="G65" i="4"/>
  <c r="G75" i="4"/>
  <c r="C65" i="4"/>
  <c r="J63" i="4"/>
  <c r="J73" i="4"/>
  <c r="F63" i="4"/>
  <c r="F73" i="4"/>
  <c r="J61" i="4"/>
  <c r="J71" i="4"/>
  <c r="F61" i="4"/>
  <c r="F71" i="4"/>
  <c r="C66" i="4"/>
  <c r="K66" i="4"/>
  <c r="K76" i="4"/>
  <c r="G66" i="4"/>
  <c r="G76" i="4"/>
  <c r="C64" i="4"/>
  <c r="K64" i="4"/>
  <c r="K74" i="4"/>
  <c r="G64" i="4"/>
  <c r="G74" i="4"/>
  <c r="C62" i="4"/>
  <c r="K62" i="4"/>
  <c r="K72" i="4"/>
  <c r="G62" i="4"/>
  <c r="G72" i="4"/>
  <c r="C60" i="4"/>
  <c r="K60" i="4"/>
  <c r="K70" i="4"/>
  <c r="G60" i="4"/>
  <c r="G70" i="4"/>
  <c r="K67" i="4"/>
  <c r="K77" i="4"/>
  <c r="G67" i="4"/>
  <c r="G77" i="4"/>
  <c r="C67" i="4"/>
  <c r="J65" i="4"/>
  <c r="J75" i="4"/>
  <c r="F65" i="4"/>
  <c r="F75" i="4"/>
  <c r="K63" i="4"/>
  <c r="K73" i="4"/>
  <c r="G63" i="4"/>
  <c r="G73" i="4"/>
  <c r="C63" i="4"/>
  <c r="K61" i="4"/>
  <c r="K71" i="4"/>
  <c r="G61" i="4"/>
  <c r="G71" i="4"/>
  <c r="C61" i="4"/>
  <c r="D66" i="4"/>
  <c r="B61" i="4"/>
  <c r="D61" i="4"/>
  <c r="B66" i="4"/>
  <c r="B64" i="4"/>
  <c r="B62" i="4"/>
  <c r="B60" i="4"/>
  <c r="B65" i="4"/>
  <c r="B67" i="4"/>
  <c r="B63" i="4"/>
  <c r="B16" i="4"/>
  <c r="E16" i="4"/>
  <c r="E27" i="4"/>
  <c r="J38" i="4"/>
  <c r="J43" i="4"/>
  <c r="J39" i="4"/>
  <c r="K44" i="4"/>
  <c r="C20" i="4"/>
  <c r="F20" i="4"/>
  <c r="C31" i="4"/>
  <c r="K42" i="4"/>
  <c r="K40" i="4"/>
  <c r="K38" i="4"/>
  <c r="K41" i="4"/>
  <c r="K37" i="4"/>
  <c r="G37" i="4"/>
  <c r="L37" i="4"/>
  <c r="H37" i="4"/>
  <c r="D37" i="4"/>
  <c r="J44" i="4"/>
  <c r="J42" i="4"/>
  <c r="J40" i="4"/>
  <c r="J41" i="4"/>
  <c r="F37" i="4"/>
  <c r="J37" i="4"/>
  <c r="K43" i="4"/>
  <c r="K39" i="4"/>
  <c r="D42" i="4"/>
  <c r="B38" i="4"/>
  <c r="B48" i="4"/>
  <c r="F38" i="4"/>
  <c r="B43" i="4"/>
  <c r="B53" i="4"/>
  <c r="F43" i="4"/>
  <c r="B39" i="4"/>
  <c r="B49" i="4"/>
  <c r="F39" i="4"/>
  <c r="C44" i="4"/>
  <c r="C54" i="4"/>
  <c r="G44" i="4"/>
  <c r="C42" i="4"/>
  <c r="C52" i="4"/>
  <c r="G42" i="4"/>
  <c r="C40" i="4"/>
  <c r="C50" i="4"/>
  <c r="G40" i="4"/>
  <c r="C38" i="4"/>
  <c r="C48" i="4"/>
  <c r="G38" i="4"/>
  <c r="C41" i="4"/>
  <c r="C51" i="4"/>
  <c r="G41" i="4"/>
  <c r="C37" i="4"/>
  <c r="C47" i="4"/>
  <c r="H40" i="4"/>
  <c r="D40" i="4"/>
  <c r="D50" i="4"/>
  <c r="D15" i="4"/>
  <c r="G15" i="4"/>
  <c r="D47" i="4"/>
  <c r="H47" i="4"/>
  <c r="B44" i="4"/>
  <c r="B54" i="4"/>
  <c r="F44" i="4"/>
  <c r="B42" i="4"/>
  <c r="B52" i="4"/>
  <c r="F42" i="4"/>
  <c r="B40" i="4"/>
  <c r="B50" i="4"/>
  <c r="F40" i="4"/>
  <c r="B41" i="4"/>
  <c r="B51" i="4"/>
  <c r="F41" i="4"/>
  <c r="B37" i="4"/>
  <c r="B47" i="4"/>
  <c r="C43" i="4"/>
  <c r="C53" i="4"/>
  <c r="G43" i="4"/>
  <c r="C39" i="4"/>
  <c r="C49" i="4"/>
  <c r="G39" i="4"/>
  <c r="B22" i="4"/>
  <c r="E22" i="4"/>
  <c r="B33" i="4"/>
  <c r="B20" i="4"/>
  <c r="E20" i="4"/>
  <c r="E31" i="4"/>
  <c r="B15" i="4"/>
  <c r="E15" i="4"/>
  <c r="B26" i="4"/>
  <c r="F29" i="4"/>
  <c r="C29" i="4"/>
  <c r="C32" i="4"/>
  <c r="F32" i="4"/>
  <c r="F30" i="4"/>
  <c r="C28" i="4"/>
  <c r="F28" i="4"/>
  <c r="C27" i="4"/>
  <c r="F33" i="4"/>
  <c r="C33" i="4"/>
  <c r="B27" i="4"/>
  <c r="F31" i="4"/>
  <c r="B21" i="4"/>
  <c r="E21" i="4"/>
  <c r="B17" i="4"/>
  <c r="E17" i="4"/>
  <c r="B18" i="4"/>
  <c r="E18" i="4"/>
  <c r="B19" i="4"/>
  <c r="E19" i="4"/>
  <c r="B30" i="4"/>
  <c r="G155" i="4"/>
  <c r="AC11" i="4"/>
  <c r="AC9" i="4"/>
  <c r="AC7" i="4"/>
  <c r="AC10" i="4"/>
  <c r="AB10" i="4"/>
  <c r="AF9" i="4"/>
  <c r="AG9" i="4"/>
  <c r="AC12" i="4"/>
  <c r="AC8" i="4"/>
  <c r="D17" i="4"/>
  <c r="G17" i="4"/>
  <c r="AA40" i="2"/>
  <c r="AH36" i="2"/>
  <c r="AI36" i="2"/>
  <c r="AD37" i="2"/>
  <c r="AE41" i="2"/>
  <c r="AA38" i="2"/>
  <c r="AA34" i="2"/>
  <c r="AE39" i="2"/>
  <c r="AA36" i="2"/>
  <c r="AE37" i="2"/>
  <c r="J80" i="2"/>
  <c r="J81" i="2"/>
  <c r="C94" i="2"/>
  <c r="D70" i="2"/>
  <c r="S43" i="2"/>
  <c r="D36" i="3"/>
  <c r="D38" i="3"/>
  <c r="D24" i="3"/>
  <c r="D34" i="3"/>
  <c r="D23" i="3"/>
  <c r="H17" i="3"/>
  <c r="D14" i="3"/>
  <c r="M40" i="2"/>
  <c r="M39" i="2"/>
  <c r="M38" i="2"/>
  <c r="C29" i="2"/>
  <c r="E28" i="2"/>
  <c r="E39" i="2"/>
  <c r="D28" i="2"/>
  <c r="D39" i="2"/>
  <c r="C28" i="2"/>
  <c r="X23" i="2"/>
  <c r="R23" i="2"/>
  <c r="R24" i="2"/>
  <c r="R22" i="2"/>
  <c r="J22" i="2"/>
  <c r="J23" i="2"/>
  <c r="D29" i="2"/>
  <c r="D22" i="2"/>
  <c r="D23" i="2"/>
  <c r="X21" i="2"/>
  <c r="N28" i="2"/>
  <c r="AN19" i="2"/>
  <c r="AN18" i="2"/>
  <c r="P86" i="1"/>
  <c r="P98" i="1"/>
  <c r="P101" i="1"/>
  <c r="P83" i="1"/>
  <c r="O98" i="1"/>
  <c r="O101" i="1"/>
  <c r="P85" i="1"/>
  <c r="L98" i="1"/>
  <c r="L101" i="1"/>
  <c r="P80" i="1"/>
  <c r="P9" i="1"/>
  <c r="P11" i="1"/>
  <c r="P12" i="1"/>
  <c r="O28" i="1"/>
  <c r="M28" i="1"/>
  <c r="N28" i="1"/>
  <c r="L28" i="1"/>
  <c r="L30" i="1"/>
  <c r="P158" i="1"/>
  <c r="P161" i="1"/>
  <c r="R158" i="1"/>
  <c r="R161" i="1"/>
  <c r="T158" i="1"/>
  <c r="T161" i="1"/>
  <c r="V158" i="1"/>
  <c r="V161" i="1"/>
  <c r="N158" i="1"/>
  <c r="N161" i="1"/>
  <c r="S98" i="1"/>
  <c r="S101" i="1"/>
  <c r="U98" i="1"/>
  <c r="U101" i="1"/>
  <c r="O158" i="1"/>
  <c r="O161" i="1"/>
  <c r="Q158" i="1"/>
  <c r="Q161" i="1"/>
  <c r="S158" i="1"/>
  <c r="S161" i="1"/>
  <c r="U158" i="1"/>
  <c r="U161" i="1"/>
  <c r="W158" i="1"/>
  <c r="W161" i="1"/>
  <c r="T98" i="1"/>
  <c r="T101" i="1"/>
  <c r="R98" i="1"/>
  <c r="R101" i="1"/>
  <c r="L105" i="1"/>
  <c r="L110" i="1"/>
  <c r="L106" i="1"/>
  <c r="L103" i="1"/>
  <c r="L109" i="1"/>
  <c r="L112" i="1"/>
  <c r="L108" i="1"/>
  <c r="L104" i="1"/>
  <c r="L111" i="1"/>
  <c r="L107" i="1"/>
  <c r="P104" i="1"/>
  <c r="P111" i="1"/>
  <c r="P107" i="1"/>
  <c r="P112" i="1"/>
  <c r="P108" i="1"/>
  <c r="P103" i="1"/>
  <c r="P109" i="1"/>
  <c r="P105" i="1"/>
  <c r="P110" i="1"/>
  <c r="P106" i="1"/>
  <c r="O104" i="1"/>
  <c r="O103" i="1"/>
  <c r="O109" i="1"/>
  <c r="O105" i="1"/>
  <c r="O112" i="1"/>
  <c r="O108" i="1"/>
  <c r="O111" i="1"/>
  <c r="O107" i="1"/>
  <c r="O110" i="1"/>
  <c r="O106" i="1"/>
  <c r="L32" i="1"/>
  <c r="R25" i="1"/>
  <c r="R28" i="1"/>
  <c r="Q25" i="1"/>
  <c r="Q28" i="1"/>
  <c r="T28" i="1"/>
  <c r="M31" i="1"/>
  <c r="N32" i="1"/>
  <c r="O31" i="1"/>
  <c r="P25" i="1"/>
  <c r="P28" i="1"/>
  <c r="P35" i="1"/>
  <c r="C26" i="4"/>
  <c r="E26" i="4"/>
  <c r="B31" i="4"/>
  <c r="B77" i="4"/>
  <c r="B70" i="4"/>
  <c r="B74" i="4"/>
  <c r="C73" i="4"/>
  <c r="C70" i="4"/>
  <c r="C74" i="4"/>
  <c r="C75" i="4"/>
  <c r="B73" i="4"/>
  <c r="B75" i="4"/>
  <c r="B72" i="4"/>
  <c r="B76" i="4"/>
  <c r="B71" i="4"/>
  <c r="C71" i="4"/>
  <c r="C77" i="4"/>
  <c r="C72" i="4"/>
  <c r="C76" i="4"/>
  <c r="F52" i="4"/>
  <c r="G49" i="4"/>
  <c r="G53" i="4"/>
  <c r="K49" i="4"/>
  <c r="J47" i="4"/>
  <c r="J51" i="4"/>
  <c r="J52" i="4"/>
  <c r="K47" i="4"/>
  <c r="K48" i="4"/>
  <c r="K52" i="4"/>
  <c r="K54" i="4"/>
  <c r="J53" i="4"/>
  <c r="F51" i="4"/>
  <c r="F50" i="4"/>
  <c r="F54" i="4"/>
  <c r="G51" i="4"/>
  <c r="G48" i="4"/>
  <c r="G50" i="4"/>
  <c r="G52" i="4"/>
  <c r="G54" i="4"/>
  <c r="F49" i="4"/>
  <c r="F53" i="4"/>
  <c r="F48" i="4"/>
  <c r="K53" i="4"/>
  <c r="F47" i="4"/>
  <c r="J50" i="4"/>
  <c r="J54" i="4"/>
  <c r="G47" i="4"/>
  <c r="K51" i="4"/>
  <c r="K50" i="4"/>
  <c r="J49" i="4"/>
  <c r="J48" i="4"/>
  <c r="L47" i="4"/>
  <c r="E66" i="4"/>
  <c r="D76" i="4"/>
  <c r="E61" i="4"/>
  <c r="D71" i="4"/>
  <c r="D65" i="4"/>
  <c r="L65" i="4"/>
  <c r="L75" i="4"/>
  <c r="H65" i="4"/>
  <c r="L67" i="4"/>
  <c r="L77" i="4"/>
  <c r="H67" i="4"/>
  <c r="D64" i="4"/>
  <c r="H64" i="4"/>
  <c r="L64" i="4"/>
  <c r="L74" i="4"/>
  <c r="L63" i="4"/>
  <c r="L73" i="4"/>
  <c r="H63" i="4"/>
  <c r="D60" i="4"/>
  <c r="H60" i="4"/>
  <c r="L60" i="4"/>
  <c r="L70" i="4"/>
  <c r="L61" i="4"/>
  <c r="L71" i="4"/>
  <c r="H61" i="4"/>
  <c r="H66" i="4"/>
  <c r="L66" i="4"/>
  <c r="L76" i="4"/>
  <c r="H62" i="4"/>
  <c r="L62" i="4"/>
  <c r="L72" i="4"/>
  <c r="D63" i="4"/>
  <c r="D67" i="4"/>
  <c r="D62" i="4"/>
  <c r="D52" i="4"/>
  <c r="L38" i="4"/>
  <c r="L44" i="4"/>
  <c r="L39" i="4"/>
  <c r="D18" i="4"/>
  <c r="G18" i="4"/>
  <c r="L40" i="4"/>
  <c r="L41" i="4"/>
  <c r="L43" i="4"/>
  <c r="D20" i="4"/>
  <c r="G20" i="4"/>
  <c r="G31" i="4"/>
  <c r="L42" i="4"/>
  <c r="H50" i="4"/>
  <c r="E33" i="4"/>
  <c r="H42" i="4"/>
  <c r="D16" i="4"/>
  <c r="G16" i="4"/>
  <c r="G27" i="4"/>
  <c r="H38" i="4"/>
  <c r="D38" i="4"/>
  <c r="D22" i="4"/>
  <c r="G22" i="4"/>
  <c r="D33" i="4"/>
  <c r="H44" i="4"/>
  <c r="D44" i="4"/>
  <c r="D39" i="4"/>
  <c r="H39" i="4"/>
  <c r="D19" i="4"/>
  <c r="G19" i="4"/>
  <c r="D30" i="4"/>
  <c r="D41" i="4"/>
  <c r="H41" i="4"/>
  <c r="D21" i="4"/>
  <c r="G21" i="4"/>
  <c r="D43" i="4"/>
  <c r="H43" i="4"/>
  <c r="G28" i="4"/>
  <c r="D28" i="4"/>
  <c r="D27" i="4"/>
  <c r="E30" i="4"/>
  <c r="B29" i="4"/>
  <c r="E29" i="4"/>
  <c r="E28" i="4"/>
  <c r="B28" i="4"/>
  <c r="E32" i="4"/>
  <c r="B32" i="4"/>
  <c r="D26" i="4"/>
  <c r="G26" i="4"/>
  <c r="G156" i="4"/>
  <c r="AF10" i="4"/>
  <c r="AG10" i="4"/>
  <c r="AB11" i="4"/>
  <c r="AD38" i="2"/>
  <c r="AH37" i="2"/>
  <c r="AI37" i="2"/>
  <c r="M29" i="2"/>
  <c r="D40" i="2"/>
  <c r="E32" i="2"/>
  <c r="T28" i="2"/>
  <c r="D33" i="2"/>
  <c r="S29" i="2"/>
  <c r="M28" i="2"/>
  <c r="E29" i="2"/>
  <c r="I29" i="2"/>
  <c r="I40" i="2"/>
  <c r="I28" i="2"/>
  <c r="I39" i="2"/>
  <c r="D27" i="3"/>
  <c r="L28" i="2"/>
  <c r="L29" i="2"/>
  <c r="C39" i="2"/>
  <c r="C40" i="2"/>
  <c r="O30" i="1"/>
  <c r="O38" i="1"/>
  <c r="O36" i="1"/>
  <c r="O34" i="1"/>
  <c r="O32" i="1"/>
  <c r="O39" i="1"/>
  <c r="O37" i="1"/>
  <c r="O35" i="1"/>
  <c r="O33" i="1"/>
  <c r="N30" i="1"/>
  <c r="N39" i="1"/>
  <c r="L39" i="1"/>
  <c r="M38" i="1"/>
  <c r="N37" i="1"/>
  <c r="L37" i="1"/>
  <c r="M36" i="1"/>
  <c r="N35" i="1"/>
  <c r="L35" i="1"/>
  <c r="M34" i="1"/>
  <c r="N33" i="1"/>
  <c r="L33" i="1"/>
  <c r="M32" i="1"/>
  <c r="N31" i="1"/>
  <c r="L31" i="1"/>
  <c r="M30" i="1"/>
  <c r="M39" i="1"/>
  <c r="N38" i="1"/>
  <c r="L38" i="1"/>
  <c r="M37" i="1"/>
  <c r="N36" i="1"/>
  <c r="L36" i="1"/>
  <c r="M35" i="1"/>
  <c r="N34" i="1"/>
  <c r="L34" i="1"/>
  <c r="M33" i="1"/>
  <c r="R105" i="1"/>
  <c r="R108" i="1"/>
  <c r="R111" i="1"/>
  <c r="R110" i="1"/>
  <c r="R103" i="1"/>
  <c r="R112" i="1"/>
  <c r="R104" i="1"/>
  <c r="R107" i="1"/>
  <c r="R106" i="1"/>
  <c r="R109" i="1"/>
  <c r="W163" i="1"/>
  <c r="W172" i="1"/>
  <c r="W164" i="1"/>
  <c r="W165" i="1"/>
  <c r="W166" i="1"/>
  <c r="W167" i="1"/>
  <c r="W168" i="1"/>
  <c r="W169" i="1"/>
  <c r="W170" i="1"/>
  <c r="W171" i="1"/>
  <c r="S163" i="1"/>
  <c r="S172" i="1"/>
  <c r="S164" i="1"/>
  <c r="S165" i="1"/>
  <c r="S166" i="1"/>
  <c r="S167" i="1"/>
  <c r="S168" i="1"/>
  <c r="S169" i="1"/>
  <c r="S170" i="1"/>
  <c r="S171" i="1"/>
  <c r="O163" i="1"/>
  <c r="O172" i="1"/>
  <c r="O164" i="1"/>
  <c r="O165" i="1"/>
  <c r="O166" i="1"/>
  <c r="O167" i="1"/>
  <c r="O168" i="1"/>
  <c r="O169" i="1"/>
  <c r="O170" i="1"/>
  <c r="O171" i="1"/>
  <c r="S103" i="1"/>
  <c r="S104" i="1"/>
  <c r="S111" i="1"/>
  <c r="S112" i="1"/>
  <c r="S107" i="1"/>
  <c r="S110" i="1"/>
  <c r="S109" i="1"/>
  <c r="S108" i="1"/>
  <c r="S106" i="1"/>
  <c r="S105" i="1"/>
  <c r="V172" i="1"/>
  <c r="V164" i="1"/>
  <c r="V165" i="1"/>
  <c r="V166" i="1"/>
  <c r="V167" i="1"/>
  <c r="V168" i="1"/>
  <c r="V169" i="1"/>
  <c r="V170" i="1"/>
  <c r="V171" i="1"/>
  <c r="V163" i="1"/>
  <c r="R172" i="1"/>
  <c r="R164" i="1"/>
  <c r="R165" i="1"/>
  <c r="R166" i="1"/>
  <c r="R167" i="1"/>
  <c r="R168" i="1"/>
  <c r="R169" i="1"/>
  <c r="R170" i="1"/>
  <c r="R171" i="1"/>
  <c r="R163" i="1"/>
  <c r="T104" i="1"/>
  <c r="T108" i="1"/>
  <c r="T112" i="1"/>
  <c r="T107" i="1"/>
  <c r="T111" i="1"/>
  <c r="T103" i="1"/>
  <c r="T106" i="1"/>
  <c r="T110" i="1"/>
  <c r="T105" i="1"/>
  <c r="T109" i="1"/>
  <c r="U163" i="1"/>
  <c r="U172" i="1"/>
  <c r="U164" i="1"/>
  <c r="U165" i="1"/>
  <c r="U166" i="1"/>
  <c r="U167" i="1"/>
  <c r="U168" i="1"/>
  <c r="U169" i="1"/>
  <c r="U170" i="1"/>
  <c r="U171" i="1"/>
  <c r="Q163" i="1"/>
  <c r="Q172" i="1"/>
  <c r="Q164" i="1"/>
  <c r="Q165" i="1"/>
  <c r="Q166" i="1"/>
  <c r="Q167" i="1"/>
  <c r="Q168" i="1"/>
  <c r="Q169" i="1"/>
  <c r="Q170" i="1"/>
  <c r="Q171" i="1"/>
  <c r="U107" i="1"/>
  <c r="U111" i="1"/>
  <c r="U106" i="1"/>
  <c r="U110" i="1"/>
  <c r="U103" i="1"/>
  <c r="U105" i="1"/>
  <c r="U109" i="1"/>
  <c r="U104" i="1"/>
  <c r="U108" i="1"/>
  <c r="U112" i="1"/>
  <c r="N172" i="1"/>
  <c r="N164" i="1"/>
  <c r="N165" i="1"/>
  <c r="N166" i="1"/>
  <c r="N167" i="1"/>
  <c r="N168" i="1"/>
  <c r="N169" i="1"/>
  <c r="N170" i="1"/>
  <c r="N171" i="1"/>
  <c r="N163" i="1"/>
  <c r="T172" i="1"/>
  <c r="T164" i="1"/>
  <c r="T165" i="1"/>
  <c r="T166" i="1"/>
  <c r="T167" i="1"/>
  <c r="T168" i="1"/>
  <c r="T169" i="1"/>
  <c r="T170" i="1"/>
  <c r="T171" i="1"/>
  <c r="T163" i="1"/>
  <c r="P172" i="1"/>
  <c r="P164" i="1"/>
  <c r="P165" i="1"/>
  <c r="P166" i="1"/>
  <c r="P167" i="1"/>
  <c r="P168" i="1"/>
  <c r="P169" i="1"/>
  <c r="P170" i="1"/>
  <c r="P171" i="1"/>
  <c r="P163" i="1"/>
  <c r="P39" i="1"/>
  <c r="P38" i="1"/>
  <c r="R32" i="1"/>
  <c r="R34" i="1"/>
  <c r="R36" i="1"/>
  <c r="R31" i="1"/>
  <c r="R33" i="1"/>
  <c r="R35" i="1"/>
  <c r="R37" i="1"/>
  <c r="R39" i="1"/>
  <c r="R38" i="1"/>
  <c r="T32" i="1"/>
  <c r="T34" i="1"/>
  <c r="T36" i="1"/>
  <c r="T38" i="1"/>
  <c r="T31" i="1"/>
  <c r="T33" i="1"/>
  <c r="T35" i="1"/>
  <c r="T37" i="1"/>
  <c r="T39" i="1"/>
  <c r="P34" i="1"/>
  <c r="P31" i="1"/>
  <c r="T30" i="1"/>
  <c r="Q31" i="1"/>
  <c r="Q33" i="1"/>
  <c r="Q35" i="1"/>
  <c r="Q37" i="1"/>
  <c r="Q39" i="1"/>
  <c r="Q32" i="1"/>
  <c r="Q34" i="1"/>
  <c r="Q36" i="1"/>
  <c r="Q38" i="1"/>
  <c r="Q30" i="1"/>
  <c r="R30" i="1"/>
  <c r="P32" i="1"/>
  <c r="P36" i="1"/>
  <c r="P30" i="1"/>
  <c r="P33" i="1"/>
  <c r="P37" i="1"/>
  <c r="D31" i="4"/>
  <c r="E62" i="4"/>
  <c r="D72" i="4"/>
  <c r="E63" i="4"/>
  <c r="D73" i="4"/>
  <c r="H72" i="4"/>
  <c r="E67" i="4"/>
  <c r="D77" i="4"/>
  <c r="H71" i="4"/>
  <c r="E60" i="4"/>
  <c r="D70" i="4"/>
  <c r="H74" i="4"/>
  <c r="H77" i="4"/>
  <c r="H75" i="4"/>
  <c r="E65" i="4"/>
  <c r="D75" i="4"/>
  <c r="H76" i="4"/>
  <c r="H70" i="4"/>
  <c r="H73" i="4"/>
  <c r="E64" i="4"/>
  <c r="D74" i="4"/>
  <c r="G33" i="4"/>
  <c r="G30" i="4"/>
  <c r="L52" i="4"/>
  <c r="L53" i="4"/>
  <c r="L51" i="4"/>
  <c r="G29" i="4"/>
  <c r="D29" i="4"/>
  <c r="L54" i="4"/>
  <c r="L48" i="4"/>
  <c r="L50" i="4"/>
  <c r="L49" i="4"/>
  <c r="D53" i="4"/>
  <c r="H51" i="4"/>
  <c r="D49" i="4"/>
  <c r="H54" i="4"/>
  <c r="D48" i="4"/>
  <c r="H53" i="4"/>
  <c r="D51" i="4"/>
  <c r="H49" i="4"/>
  <c r="D54" i="4"/>
  <c r="H48" i="4"/>
  <c r="H52" i="4"/>
  <c r="D32" i="4"/>
  <c r="G32" i="4"/>
  <c r="G157" i="4"/>
  <c r="AB12" i="4"/>
  <c r="AF11" i="4"/>
  <c r="AG11" i="4"/>
  <c r="AD39" i="2"/>
  <c r="AH38" i="2"/>
  <c r="AI38" i="2"/>
  <c r="T43" i="2"/>
  <c r="C42" i="2"/>
  <c r="C91" i="2"/>
  <c r="C92" i="2"/>
  <c r="I42" i="2"/>
  <c r="C78" i="2"/>
  <c r="C79" i="2"/>
  <c r="C80" i="2"/>
  <c r="D42" i="2"/>
  <c r="N29" i="2"/>
  <c r="E33" i="2"/>
  <c r="E40" i="2"/>
  <c r="O29" i="2"/>
  <c r="I33" i="2"/>
  <c r="O28" i="2"/>
  <c r="I32" i="2"/>
  <c r="C33" i="2"/>
  <c r="R29" i="2"/>
  <c r="C67" i="2"/>
  <c r="C72" i="2"/>
  <c r="C73" i="2"/>
  <c r="S38" i="2"/>
  <c r="C32" i="2"/>
  <c r="R28" i="2"/>
  <c r="U28" i="2"/>
  <c r="D32" i="2"/>
  <c r="S28" i="2"/>
  <c r="T42" i="2"/>
  <c r="S39" i="2"/>
  <c r="H153" i="4"/>
  <c r="AF12" i="4"/>
  <c r="AG12" i="4"/>
  <c r="AC13" i="4"/>
  <c r="AG13" i="4"/>
  <c r="AH13" i="4"/>
  <c r="G158" i="4"/>
  <c r="T29" i="2"/>
  <c r="AD40" i="2"/>
  <c r="AH39" i="2"/>
  <c r="AI39" i="2"/>
  <c r="U29" i="2"/>
  <c r="J82" i="2"/>
  <c r="J83" i="2"/>
  <c r="C93" i="2"/>
  <c r="E42" i="2"/>
  <c r="C85" i="2"/>
  <c r="C86" i="2"/>
  <c r="C87" i="2"/>
  <c r="D43" i="2"/>
  <c r="D44" i="2"/>
  <c r="D45" i="2"/>
  <c r="D46" i="2"/>
  <c r="I43" i="2"/>
  <c r="J43" i="2"/>
  <c r="I44" i="2"/>
  <c r="I45" i="2"/>
  <c r="I46" i="2"/>
  <c r="C44" i="2"/>
  <c r="C45" i="2"/>
  <c r="C46" i="2"/>
  <c r="C43" i="2"/>
  <c r="H154" i="4"/>
  <c r="G159" i="4"/>
  <c r="AD41" i="2"/>
  <c r="AH41" i="2"/>
  <c r="AI41" i="2"/>
  <c r="AH40" i="2"/>
  <c r="AI40" i="2"/>
  <c r="E44" i="2"/>
  <c r="E45" i="2"/>
  <c r="E46" i="2"/>
  <c r="E43" i="2"/>
  <c r="H155" i="4"/>
  <c r="G160" i="4"/>
  <c r="H156" i="4"/>
  <c r="H157" i="4"/>
  <c r="H158" i="4"/>
  <c r="AO32" i="1"/>
  <c r="H159" i="4"/>
  <c r="H160" i="4"/>
  <c r="H24" i="6"/>
  <c r="J24" i="6"/>
  <c r="F19" i="6"/>
  <c r="F20" i="6"/>
  <c r="C20" i="6"/>
  <c r="G20" i="6"/>
  <c r="C19" i="6"/>
  <c r="G19" i="6"/>
  <c r="E20" i="6"/>
  <c r="D20" i="6"/>
  <c r="D19" i="6"/>
  <c r="E19" i="6"/>
</calcChain>
</file>

<file path=xl/sharedStrings.xml><?xml version="1.0" encoding="utf-8"?>
<sst xmlns="http://schemas.openxmlformats.org/spreadsheetml/2006/main" count="711" uniqueCount="465">
  <si>
    <t>Gensis 4.6 liter V8</t>
  </si>
  <si>
    <t>Audi A6 3.0 T</t>
  </si>
  <si>
    <t xml:space="preserve">Mercedes E 550 </t>
  </si>
  <si>
    <t>http://www.mbusa.com/mercedes/#/vehicleComparison/</t>
  </si>
  <si>
    <t>http://www.teslamotors.com/models/</t>
  </si>
  <si>
    <t>http://www.audiusa.com/us/brand/en/models/a6_sedan/features_and_specifications/specifications_table.html</t>
  </si>
  <si>
    <t>http://www.hyundaiusa.com/build-your-hyundai/?vehicle=genesis&amp;year=2010</t>
  </si>
  <si>
    <t>http://en.wikipedia.org/wiki/Tesla_Roadster</t>
  </si>
  <si>
    <t>Energy Unit</t>
  </si>
  <si>
    <t>Average Price in Korea, 2009</t>
  </si>
  <si>
    <t>kWh (Household)</t>
  </si>
  <si>
    <t>Gallon of Gasoline</t>
  </si>
  <si>
    <t xml:space="preserve">$.10 kWh </t>
  </si>
  <si>
    <t>5.33 Gallon</t>
  </si>
  <si>
    <t>5.6 sec</t>
  </si>
  <si>
    <t>5.3 sec</t>
  </si>
  <si>
    <t>5.9 sec</t>
  </si>
  <si>
    <t>5.2 sec</t>
  </si>
  <si>
    <t>Energy Korea 4th Qtr 2009</t>
  </si>
  <si>
    <t>32.91 kwh = 1 gallon gasoline</t>
  </si>
  <si>
    <t>http://wheels.blogs.nytimes.com/2009/08/25/tesla-model-s-one-whopper-of-a-battery-pack/</t>
  </si>
  <si>
    <t xml:space="preserve">100 (est) </t>
  </si>
  <si>
    <t>Fuel Cost/Mile</t>
  </si>
  <si>
    <t>Gasoline Costs Per Mile</t>
  </si>
  <si>
    <t>Table 5.1.5-4 American Automobile Association 2008 Vehicle Cost Estimates7</t>
  </si>
  <si>
    <t>Maintenance per mile</t>
  </si>
  <si>
    <t>Tires per mile</t>
  </si>
  <si>
    <t>Operating costs/mile</t>
  </si>
  <si>
    <t>Performance (0-60)</t>
  </si>
  <si>
    <t>Base Price + Miles</t>
  </si>
  <si>
    <t>Tesla Battery Replacement Program</t>
  </si>
  <si>
    <t>Tesla Real Battery Cost</t>
  </si>
  <si>
    <t>Battery Life 5 to 7 Years, thus Estimated 5 Years = 100,000 Miles</t>
  </si>
  <si>
    <t>Sources</t>
  </si>
  <si>
    <t>Victoria Transport Policy Institute: Maintenance and Tire Costs Per Mile Estimates</t>
  </si>
  <si>
    <t>http://en.wikipedia.org/wiki/Tesla_Model_S</t>
  </si>
  <si>
    <t>Scenario 1</t>
  </si>
  <si>
    <t>Scenario 2</t>
  </si>
  <si>
    <r>
      <t>Energy Prices and Taxes, Quarterly Statistics, 1</t>
    </r>
    <r>
      <rPr>
        <vertAlign val="superscript"/>
        <sz val="11"/>
        <color theme="1"/>
        <rFont val="Calibri"/>
        <family val="2"/>
        <scheme val="minor"/>
      </rPr>
      <t>st</t>
    </r>
    <r>
      <rPr>
        <sz val="11"/>
        <color theme="1"/>
        <rFont val="Calibri"/>
        <family val="2"/>
        <scheme val="minor"/>
      </rPr>
      <t xml:space="preserve"> Quarter 2010. (Liters converted to gallons: *3.78)</t>
    </r>
  </si>
  <si>
    <t>http://www.aaaexchange.com/Assets/Files/20084141552360.DrivingCosts2008.pdf</t>
  </si>
  <si>
    <t>http://www.bmwusa.com/Standard/Content/Vehicles/2011/5/535iSedan/modelhighlights/default.aspx?enc=/eiUrYOZAxtXbrazY6tfknvs2p4czl6fdqlc7VGB7GNv9Jt4PLopnC4C2nvOrwqMYiY2UkKXvAsyASGYTaZzpxkoKHo5S0TfFia7/4fkGmPYMQeWL+IQGrhgGrRO9xt7Tws27JV+aoOb6E1L31OLVYa9vShylY4s/WOcVMcpeVKxdnc/6GcUAcqFUCQ2GlfL</t>
  </si>
  <si>
    <t>BMW 535i</t>
  </si>
  <si>
    <t>5.7 sec</t>
  </si>
  <si>
    <t xml:space="preserve">Engine Size </t>
  </si>
  <si>
    <t>Combined MPG /MPGge</t>
  </si>
  <si>
    <t>http://www.mpgfacts.com/?did=367&amp;year=2010</t>
  </si>
  <si>
    <t>http://www.mpgfacts.com/?did=445&amp;year=2010</t>
  </si>
  <si>
    <t>http://www.autoguide.com/manufacturer/audi/2010-audi-a6-30t-review-1214.html</t>
  </si>
  <si>
    <t>http://www.mpgfacts.com/?r=g&amp;make=Hyundai&amp;year=2010</t>
  </si>
  <si>
    <t>3.0 Liter (2979 cc)</t>
  </si>
  <si>
    <t>Gensis  V8</t>
  </si>
  <si>
    <t>3.0 Liter (2995cc)</t>
  </si>
  <si>
    <t>5.5 Liter (5461 cc)</t>
  </si>
  <si>
    <t>http://www.insideline.com/mercedes-benz/e-class/2010/2010-mercedes-benz-e550-full-test-and-video.html</t>
  </si>
  <si>
    <t>4.6 Liter (4627 cc)</t>
  </si>
  <si>
    <t>http://www.edmunds.com/hyundai/azera/2010/review.html</t>
  </si>
  <si>
    <t xml:space="preserve">With the exception of AMG, No C class Mercedes can accelerate 0-60 within 5 to 6 seconds. </t>
  </si>
  <si>
    <t>Base Price</t>
  </si>
  <si>
    <t>Class</t>
  </si>
  <si>
    <t>Mid-Size</t>
  </si>
  <si>
    <t>http://hyundaicanada.com/pages/showroom/showroom.aspx?model=Genesis</t>
  </si>
  <si>
    <t>South Korea</t>
  </si>
  <si>
    <t>Miles</t>
  </si>
  <si>
    <t>Mid-Size Class  Sedan Hypthetical Comparisons: South Korean Energy Price Analysis</t>
  </si>
  <si>
    <t>http://www.toyota.com/prius-hybrid/specs.html</t>
  </si>
  <si>
    <t>1.8 liter (1798 cc)</t>
  </si>
  <si>
    <t>Toyota Prius (V gen)</t>
  </si>
  <si>
    <t>9.8 sec</t>
  </si>
  <si>
    <t>Mercedes C300</t>
  </si>
  <si>
    <t>7.1 sec</t>
  </si>
  <si>
    <t>http://www.mbusa.com/mercedes/vehicles/explore/specs/class-C/model-C300WZ</t>
  </si>
  <si>
    <t>3.0 Liter (2,996 cc)</t>
  </si>
  <si>
    <t xml:space="preserve">3.0 Liter ( </t>
  </si>
  <si>
    <t>6 - 7 sec (est)</t>
  </si>
  <si>
    <t>http://www.bmwusa.com/Standard/Content/Vehicles/2011/3/328iSedan/Features_and_Specs/328iSedanSpecifications.aspx</t>
  </si>
  <si>
    <t>http://www.fueleconomy.gov/feg/sbs.htm</t>
  </si>
  <si>
    <t>Audi A4</t>
  </si>
  <si>
    <t xml:space="preserve">BMW 328i </t>
  </si>
  <si>
    <t>2.0 Liter (1984 cc)</t>
  </si>
  <si>
    <t>http://www.audiusa.com/us/brand/en/models/a4_sedan/features_and_specifications/specifications_table.html</t>
  </si>
  <si>
    <t>Analysis of Transportation Fuel Expenditrue in South Korea</t>
  </si>
  <si>
    <t>By Kevin P. Kane</t>
  </si>
  <si>
    <t>Unit: 1000 barrels</t>
  </si>
  <si>
    <t>(Unit: Thousand Bbl,%)</t>
  </si>
  <si>
    <t>1000 $</t>
  </si>
  <si>
    <t>Month</t>
  </si>
  <si>
    <t>Product</t>
  </si>
  <si>
    <t>Gasoline</t>
  </si>
  <si>
    <t>Gasoline Transport</t>
  </si>
  <si>
    <t>Kerosene</t>
  </si>
  <si>
    <t>Diesel</t>
  </si>
  <si>
    <t>Diesel Transport</t>
  </si>
  <si>
    <t>Bunker A</t>
  </si>
  <si>
    <t>Bunker B</t>
  </si>
  <si>
    <t>Bunker C</t>
  </si>
  <si>
    <t>Naphtha</t>
  </si>
  <si>
    <t>Solvent</t>
  </si>
  <si>
    <t>Jet oil</t>
  </si>
  <si>
    <t>LPG</t>
  </si>
  <si>
    <t>LPG For Gasoline</t>
  </si>
  <si>
    <t>Asphalt</t>
  </si>
  <si>
    <t>Base Oil</t>
  </si>
  <si>
    <t>Others</t>
  </si>
  <si>
    <t>Fuel Oil by Product</t>
  </si>
  <si>
    <t>Total</t>
  </si>
  <si>
    <t>Year</t>
  </si>
  <si>
    <t>Contract type</t>
  </si>
  <si>
    <t>Longterm contract</t>
  </si>
  <si>
    <t>Spot</t>
  </si>
  <si>
    <t>Processing</t>
  </si>
  <si>
    <t>Development imports</t>
  </si>
  <si>
    <t>Stock Crude</t>
  </si>
  <si>
    <t>Amount</t>
  </si>
  <si>
    <t>Price</t>
  </si>
  <si>
    <t>Unit $</t>
  </si>
  <si>
    <t>Converted</t>
  </si>
  <si>
    <t>Unit: Barrels</t>
  </si>
  <si>
    <t>LPG Transport</t>
  </si>
  <si>
    <t>Total Transport</t>
  </si>
  <si>
    <t>Share of Total Barrel Imports</t>
  </si>
  <si>
    <t>Gasoline Share</t>
  </si>
  <si>
    <t>Diesel Share</t>
  </si>
  <si>
    <t>LPG Share</t>
  </si>
  <si>
    <t>Transport Fuel Share</t>
  </si>
  <si>
    <t xml:space="preserve">Unit: $ </t>
  </si>
  <si>
    <t>23.46 Billion Dollars Spent on Transport Fuel from Imports</t>
  </si>
  <si>
    <t>14 Billion Dollars Spent on Transport Fuel from Imports</t>
  </si>
  <si>
    <t>Unit: Galons</t>
  </si>
  <si>
    <t>2009 4th quarter Gasoline price $5.33</t>
  </si>
  <si>
    <t>Costs to Consumer 2008</t>
  </si>
  <si>
    <t>Costs to Consumer 2009</t>
  </si>
  <si>
    <t>USD/Liter</t>
  </si>
  <si>
    <t>USD/Galon</t>
  </si>
  <si>
    <t>Oil barrel</t>
  </si>
  <si>
    <t>2010 June</t>
  </si>
  <si>
    <t>Liter to Galon</t>
  </si>
  <si>
    <t xml:space="preserve">Overhead line </t>
  </si>
  <si>
    <t>UnderGround Tranmission Line</t>
  </si>
  <si>
    <t>100 Meters of $30 Line =</t>
  </si>
  <si>
    <t>Korea PHEV-EV Sales by 2020</t>
  </si>
  <si>
    <t>100 Meters of Line per Vehicle</t>
  </si>
  <si>
    <t xml:space="preserve">Battery Switch Station 1/3000 people </t>
  </si>
  <si>
    <t>60 second swap times (10,000 Stations, est)</t>
  </si>
  <si>
    <t>Final Infrastructure Cost</t>
  </si>
  <si>
    <t>US gas stations</t>
  </si>
  <si>
    <t>million people</t>
  </si>
  <si>
    <t>US people per gas station</t>
  </si>
  <si>
    <t>Roughly 3,000</t>
  </si>
  <si>
    <t>Korea Swap Stations Est</t>
  </si>
  <si>
    <t>Korea population</t>
  </si>
  <si>
    <t>Swap Station Costs</t>
  </si>
  <si>
    <t xml:space="preserve">Electricity KW Costs </t>
  </si>
  <si>
    <t>Per Mile</t>
  </si>
  <si>
    <t>kWh</t>
  </si>
  <si>
    <t>Combustion Engine Efficiency</t>
  </si>
  <si>
    <t>Electric Tesla Engine Efficiency</t>
  </si>
  <si>
    <t>Efficiency Savings from Gasoline to EV</t>
  </si>
  <si>
    <t>Gasoline Converted</t>
  </si>
  <si>
    <t>Total Converted</t>
  </si>
  <si>
    <t>1 galon = 32.91 kWh</t>
  </si>
  <si>
    <t>Gasoline Consumption Annually</t>
  </si>
  <si>
    <t>Westinghouse AP1000</t>
  </si>
  <si>
    <t>Capacity</t>
  </si>
  <si>
    <t xml:space="preserve">Fuel Savings from Increased efficiency </t>
  </si>
  <si>
    <t>Number of AP1000 Reactors Required to Replace Gasoline</t>
  </si>
  <si>
    <t xml:space="preserve">6 Reactor Est Cost = 2 billion </t>
  </si>
  <si>
    <t xml:space="preserve">LPG Consumption Annually </t>
  </si>
  <si>
    <t>Diesel Converted</t>
  </si>
  <si>
    <t>LPG Converted</t>
  </si>
  <si>
    <t xml:space="preserve">Gasoline Power Generation Nuclear Substitute Costs </t>
  </si>
  <si>
    <t xml:space="preserve">Diesel Consumption Annually </t>
  </si>
  <si>
    <t>Number of AP1000 Reactors Required to Replace Diesel</t>
  </si>
  <si>
    <t xml:space="preserve">Diesel Power Generation Nuclear Substitute Costs </t>
  </si>
  <si>
    <t xml:space="preserve">LPG Power Generation Nuclear Substitute Costs </t>
  </si>
  <si>
    <t xml:space="preserve">Total Power Generation Nuclear Substitute Costs </t>
  </si>
  <si>
    <t xml:space="preserve">Total Transport Fuel Consumption Annually </t>
  </si>
  <si>
    <t>Reactors</t>
  </si>
  <si>
    <t>Total Reactor Cost</t>
  </si>
  <si>
    <t>Reactor Cost</t>
  </si>
  <si>
    <t>http://www.rsportscars.com/tesla/2013-tesla-model-s/</t>
  </si>
  <si>
    <t>Battery Storage Backup Power</t>
  </si>
  <si>
    <t xml:space="preserve">70 kwh </t>
  </si>
  <si>
    <t>Vehicles in South Korea</t>
  </si>
  <si>
    <t>http://en.wikipedia.org/wiki/Automotive_industry</t>
  </si>
  <si>
    <t>If 25 MPG - Miles Driven =</t>
  </si>
  <si>
    <t>If a Tesla EV travels 1 mile with .25 kWH, then electricity use =</t>
  </si>
  <si>
    <t>If there are 3,500,000 vehicles in Korea, each drives -- per day</t>
  </si>
  <si>
    <t>Avg</t>
  </si>
  <si>
    <t>In GWh</t>
  </si>
  <si>
    <t>Additional Required Electricity in MWh</t>
  </si>
  <si>
    <t>Generation Capacity (MW)</t>
  </si>
  <si>
    <t>Sales  gWh</t>
  </si>
  <si>
    <t>Peak Demand (MW)</t>
  </si>
  <si>
    <t>Peak EV Demand</t>
  </si>
  <si>
    <t xml:space="preserve">Reserve Margin </t>
  </si>
  <si>
    <t>Tesla Battery Spec</t>
  </si>
  <si>
    <t xml:space="preserve">If there are </t>
  </si>
  <si>
    <t>EV-PHEV Operation</t>
  </si>
  <si>
    <t>PHEV Sales</t>
  </si>
  <si>
    <t>KPX</t>
  </si>
  <si>
    <t>KPMG</t>
  </si>
  <si>
    <t>EV-PHEV Total</t>
  </si>
  <si>
    <t>5 Year Owner Periods</t>
  </si>
  <si>
    <t>Combustion Sales</t>
  </si>
  <si>
    <t>Sales Plus Operation</t>
  </si>
  <si>
    <t>3.5 mil estimated in operation already</t>
  </si>
  <si>
    <t>Share of Sales</t>
  </si>
  <si>
    <t>Est Operating</t>
  </si>
  <si>
    <t>Off Peak MW</t>
  </si>
  <si>
    <t xml:space="preserve">10% of Total </t>
  </si>
  <si>
    <t>90% of Total</t>
  </si>
  <si>
    <t>EV Demand 1 + Peak</t>
  </si>
  <si>
    <t>EV Demand 2 + Peak</t>
  </si>
  <si>
    <t>EV Demand 90/10 + Peak</t>
  </si>
  <si>
    <t>2200 Projections</t>
  </si>
  <si>
    <t>Reactors  (1,400 MW)</t>
  </si>
  <si>
    <t>Classificaton</t>
  </si>
  <si>
    <t>Passenger Cars</t>
  </si>
  <si>
    <t>Buses</t>
  </si>
  <si>
    <t>Trucks</t>
  </si>
  <si>
    <t>SPVs</t>
  </si>
  <si>
    <t>2010. 04</t>
  </si>
  <si>
    <t>(year on year)</t>
  </si>
  <si>
    <t>(-2.4)</t>
  </si>
  <si>
    <t>http://www.kama.or.kr/</t>
  </si>
  <si>
    <t>CAGR = ((FV/PV)^(1/n)) - 1</t>
  </si>
  <si>
    <t>Daily Driving</t>
  </si>
  <si>
    <t>Avg Battery Storage</t>
  </si>
  <si>
    <t>Unit</t>
  </si>
  <si>
    <t>Days</t>
  </si>
  <si>
    <t>Charge Battery every</t>
  </si>
  <si>
    <t>EV Peak Demand Scenario 1</t>
  </si>
  <si>
    <t xml:space="preserve"> EV Peak Demand Scenario 2</t>
  </si>
  <si>
    <t xml:space="preserve"> EV Peak  Demand Stage Scenario 1 &amp; 2 (90/10)</t>
  </si>
  <si>
    <t>10% 16.8 (17 kW) kw 90% 1.8 (2 kW) charge</t>
  </si>
  <si>
    <t>Power Sector Spare Capacity Scenario 1</t>
  </si>
  <si>
    <t>Power Sector Spare Capacity Scenario 2</t>
  </si>
  <si>
    <t>Power Sector Spare Capacity Scenario 3</t>
  </si>
  <si>
    <t>Power Sector Spare Capacity Scenario 1 w/V2G</t>
  </si>
  <si>
    <t>Power Sector Spare Capacity Scenario 2 / V2G</t>
  </si>
  <si>
    <t>Power Sector Spare Capacity Scenario 3 / V2G</t>
  </si>
  <si>
    <t>Peak Demand Scenario 3</t>
  </si>
  <si>
    <t>10% Efficiency loss back to grid</t>
  </si>
  <si>
    <t>25% of EVs Supplying at Peak V2G 2kW</t>
  </si>
  <si>
    <t>25% EVs Supplying at Peak V2G  17kW</t>
  </si>
  <si>
    <t>Selling with a 18kw Charger Capacity (Assumes only 25% Vehicles sell at Peak Period)</t>
  </si>
  <si>
    <t>Selling with a 2kw Charger Capacity (Assumes only 25% Vehicles sell at Peak Period)</t>
  </si>
  <si>
    <t>Peak Demand + EV Scenario 3</t>
  </si>
  <si>
    <t>Peak Demand + EV Scenario 2</t>
  </si>
  <si>
    <t>Peak Demand + EV Scenario 1</t>
  </si>
  <si>
    <t>Spare Capacity with 2kW V2G</t>
  </si>
  <si>
    <t>Selling with a 17 kW Charger Capacity (Assumes only 25% Vehicles sell at Peak Period)</t>
  </si>
  <si>
    <t>Selling with a 90% 17 kW and 10% 2 kW Charger Capacity (Assumes only 25% Vehicles sell at Peak Period)</t>
  </si>
  <si>
    <t>100 Meters of Line Per Charger (half under, half over)</t>
  </si>
  <si>
    <t>Charge Station cost</t>
  </si>
  <si>
    <t>Number of Vehicles by 2020</t>
  </si>
  <si>
    <t>1 Charge Stations Per Vehicle</t>
  </si>
  <si>
    <t>Power Lines (Over Ground)</t>
  </si>
  <si>
    <t>Power Lines (Under Ground)</t>
  </si>
  <si>
    <t>Currently Planned Power Lines Planned for Development</t>
  </si>
  <si>
    <t xml:space="preserve">Sources: 
Underground versus Overhead Tranmission Lines, Edison Institute 
The 4th Basic Plan of Long-Term Electricity Supply and Demand (2008 ~ 2022), Korea Electric Power Company (KEPCO)
PHEV(Plug-in Hybrid Electric Vehicles) 도입에 따른 전력수요 영향분석, Korea Power Exchange
Plug-In Hybrid Electric Vehicles: Promise, Issues and Prospects, by Fritz R. Kalhammer, Haresh Kamath, Mark Duvall, Mark Alexander, and Bryan Jungers
</t>
  </si>
  <si>
    <t>est Avg $30 each</t>
  </si>
  <si>
    <t xml:space="preserve">est $10 </t>
  </si>
  <si>
    <t>Long Range Battery Storage 1</t>
  </si>
  <si>
    <t>Long Range Battery Storage 2</t>
  </si>
  <si>
    <t>Short Range Storage (Mini-Ev)</t>
  </si>
  <si>
    <t>Result Model 1: Long Range (200 to 300 miles) EV  (Highway Capable EVs) Charge every 6.5 days</t>
  </si>
  <si>
    <r>
      <t xml:space="preserve">Spare Capacity </t>
    </r>
    <r>
      <rPr>
        <b/>
        <sz val="11"/>
        <color theme="1"/>
        <rFont val="Calibri"/>
        <family val="2"/>
        <scheme val="minor"/>
      </rPr>
      <t xml:space="preserve">Scenario 1 </t>
    </r>
    <r>
      <rPr>
        <sz val="11"/>
        <color theme="1"/>
        <rFont val="Calibri"/>
        <family val="2"/>
        <scheme val="minor"/>
      </rPr>
      <t>(2 kW V2G)</t>
    </r>
  </si>
  <si>
    <r>
      <t xml:space="preserve">Spare Capacity </t>
    </r>
    <r>
      <rPr>
        <b/>
        <sz val="11"/>
        <color theme="1"/>
        <rFont val="Calibri"/>
        <family val="2"/>
        <scheme val="minor"/>
      </rPr>
      <t>Scenario 2</t>
    </r>
    <r>
      <rPr>
        <sz val="11"/>
        <color theme="1"/>
        <rFont val="Calibri"/>
        <family val="2"/>
        <scheme val="minor"/>
      </rPr>
      <t xml:space="preserve"> (2 kW V2G)</t>
    </r>
  </si>
  <si>
    <r>
      <t xml:space="preserve">Spare Capacity </t>
    </r>
    <r>
      <rPr>
        <b/>
        <sz val="11"/>
        <color theme="1"/>
        <rFont val="Calibri"/>
        <family val="2"/>
        <scheme val="minor"/>
      </rPr>
      <t xml:space="preserve">Scenario 3 </t>
    </r>
    <r>
      <rPr>
        <sz val="11"/>
        <color theme="1"/>
        <rFont val="Calibri"/>
        <family val="2"/>
        <scheme val="minor"/>
      </rPr>
      <t>(2 kW V2G)</t>
    </r>
  </si>
  <si>
    <r>
      <t xml:space="preserve">Spare Capacity </t>
    </r>
    <r>
      <rPr>
        <b/>
        <sz val="11"/>
        <color theme="1"/>
        <rFont val="Calibri"/>
        <family val="2"/>
        <scheme val="minor"/>
      </rPr>
      <t xml:space="preserve">Scenario 4 </t>
    </r>
    <r>
      <rPr>
        <sz val="11"/>
        <color theme="1"/>
        <rFont val="Calibri"/>
        <family val="2"/>
        <scheme val="minor"/>
      </rPr>
      <t>(17 kW V2G)</t>
    </r>
  </si>
  <si>
    <r>
      <t xml:space="preserve">Spare Capacity </t>
    </r>
    <r>
      <rPr>
        <b/>
        <sz val="11"/>
        <color theme="1"/>
        <rFont val="Calibri"/>
        <family val="2"/>
        <scheme val="minor"/>
      </rPr>
      <t>Scenario 5</t>
    </r>
    <r>
      <rPr>
        <sz val="11"/>
        <color theme="1"/>
        <rFont val="Calibri"/>
        <family val="2"/>
        <scheme val="minor"/>
      </rPr>
      <t xml:space="preserve"> (17 kW V2G)</t>
    </r>
  </si>
  <si>
    <r>
      <t xml:space="preserve">Spare Capacity </t>
    </r>
    <r>
      <rPr>
        <b/>
        <sz val="11"/>
        <color theme="1"/>
        <rFont val="Calibri"/>
        <family val="2"/>
        <scheme val="minor"/>
      </rPr>
      <t xml:space="preserve">Scenario 6 </t>
    </r>
    <r>
      <rPr>
        <sz val="11"/>
        <color theme="1"/>
        <rFont val="Calibri"/>
        <family val="2"/>
        <scheme val="minor"/>
      </rPr>
      <t>(17 kW V2G)</t>
    </r>
  </si>
  <si>
    <r>
      <t xml:space="preserve">Spare Capacity </t>
    </r>
    <r>
      <rPr>
        <b/>
        <sz val="11"/>
        <color theme="1"/>
        <rFont val="Calibri"/>
        <family val="2"/>
        <scheme val="minor"/>
      </rPr>
      <t xml:space="preserve">Scenario 7 </t>
    </r>
    <r>
      <rPr>
        <sz val="11"/>
        <color theme="1"/>
        <rFont val="Calibri"/>
        <family val="2"/>
        <scheme val="minor"/>
      </rPr>
      <t>(2 kW &amp; 17 kW V2G)</t>
    </r>
  </si>
  <si>
    <r>
      <t xml:space="preserve">Spare Capacity </t>
    </r>
    <r>
      <rPr>
        <b/>
        <sz val="11"/>
        <color theme="1"/>
        <rFont val="Calibri"/>
        <family val="2"/>
        <scheme val="minor"/>
      </rPr>
      <t xml:space="preserve">Scenario 8 </t>
    </r>
    <r>
      <rPr>
        <sz val="11"/>
        <color theme="1"/>
        <rFont val="Calibri"/>
        <family val="2"/>
        <scheme val="minor"/>
      </rPr>
      <t>(2 kW &amp; 17 kW V2G)</t>
    </r>
  </si>
  <si>
    <r>
      <t xml:space="preserve">Spare Capacity </t>
    </r>
    <r>
      <rPr>
        <b/>
        <sz val="11"/>
        <color theme="1"/>
        <rFont val="Calibri"/>
        <family val="2"/>
        <scheme val="minor"/>
      </rPr>
      <t xml:space="preserve">Scenario 9 </t>
    </r>
    <r>
      <rPr>
        <sz val="11"/>
        <color theme="1"/>
        <rFont val="Calibri"/>
        <family val="2"/>
        <scheme val="minor"/>
      </rPr>
      <t>(2 kW &amp; 17 kW V2G)</t>
    </r>
  </si>
  <si>
    <r>
      <t xml:space="preserve">Spare Capacity </t>
    </r>
    <r>
      <rPr>
        <b/>
        <sz val="11"/>
        <color theme="1"/>
        <rFont val="Calibri"/>
        <family val="2"/>
        <scheme val="minor"/>
      </rPr>
      <t xml:space="preserve">Scenario 10 </t>
    </r>
    <r>
      <rPr>
        <sz val="11"/>
        <color theme="1"/>
        <rFont val="Calibri"/>
        <family val="2"/>
        <scheme val="minor"/>
      </rPr>
      <t>(2 kW V2G - Small EV)</t>
    </r>
  </si>
  <si>
    <r>
      <t xml:space="preserve">Spare Capacity </t>
    </r>
    <r>
      <rPr>
        <b/>
        <sz val="11"/>
        <color theme="1"/>
        <rFont val="Calibri"/>
        <family val="2"/>
        <scheme val="minor"/>
      </rPr>
      <t xml:space="preserve">Scenario 11 </t>
    </r>
    <r>
      <rPr>
        <sz val="11"/>
        <color theme="1"/>
        <rFont val="Calibri"/>
        <family val="2"/>
        <scheme val="minor"/>
      </rPr>
      <t>(2 kW V2G - Small EV)</t>
    </r>
  </si>
  <si>
    <r>
      <t xml:space="preserve">Spare Capacity </t>
    </r>
    <r>
      <rPr>
        <b/>
        <sz val="11"/>
        <color theme="1"/>
        <rFont val="Calibri"/>
        <family val="2"/>
        <scheme val="minor"/>
      </rPr>
      <t xml:space="preserve">Scenario 12 </t>
    </r>
    <r>
      <rPr>
        <sz val="11"/>
        <color theme="1"/>
        <rFont val="Calibri"/>
        <family val="2"/>
        <scheme val="minor"/>
      </rPr>
      <t>(2 kW V2G - Small EV)</t>
    </r>
  </si>
  <si>
    <r>
      <t xml:space="preserve">Spare Capacity </t>
    </r>
    <r>
      <rPr>
        <b/>
        <sz val="11"/>
        <color theme="1"/>
        <rFont val="Calibri"/>
        <family val="2"/>
        <scheme val="minor"/>
      </rPr>
      <t xml:space="preserve">Scenario 13 </t>
    </r>
    <r>
      <rPr>
        <sz val="11"/>
        <color theme="1"/>
        <rFont val="Calibri"/>
        <family val="2"/>
        <scheme val="minor"/>
      </rPr>
      <t>(2 kW V2G - Small EV)</t>
    </r>
  </si>
  <si>
    <r>
      <t xml:space="preserve">Spare Capacity </t>
    </r>
    <r>
      <rPr>
        <b/>
        <sz val="11"/>
        <color theme="1"/>
        <rFont val="Calibri"/>
        <family val="2"/>
        <scheme val="minor"/>
      </rPr>
      <t xml:space="preserve">Scenario 14 </t>
    </r>
    <r>
      <rPr>
        <sz val="11"/>
        <color theme="1"/>
        <rFont val="Calibri"/>
        <family val="2"/>
        <scheme val="minor"/>
      </rPr>
      <t>(2 kW V2G - Small EV)</t>
    </r>
  </si>
  <si>
    <r>
      <t xml:space="preserve">Spare Capacity </t>
    </r>
    <r>
      <rPr>
        <b/>
        <sz val="11"/>
        <color theme="1"/>
        <rFont val="Calibri"/>
        <family val="2"/>
        <scheme val="minor"/>
      </rPr>
      <t xml:space="preserve">Scenario 15 </t>
    </r>
    <r>
      <rPr>
        <sz val="11"/>
        <color theme="1"/>
        <rFont val="Calibri"/>
        <family val="2"/>
        <scheme val="minor"/>
      </rPr>
      <t>(2 kW V2G - Small EV)</t>
    </r>
  </si>
  <si>
    <r>
      <t xml:space="preserve">Spare Capacity </t>
    </r>
    <r>
      <rPr>
        <b/>
        <sz val="11"/>
        <color theme="1"/>
        <rFont val="Calibri"/>
        <family val="2"/>
        <scheme val="minor"/>
      </rPr>
      <t xml:space="preserve">Scenario 16 </t>
    </r>
    <r>
      <rPr>
        <sz val="11"/>
        <color theme="1"/>
        <rFont val="Calibri"/>
        <family val="2"/>
        <scheme val="minor"/>
      </rPr>
      <t>(2 kW V2G - Small EV)</t>
    </r>
  </si>
  <si>
    <r>
      <t xml:space="preserve">Spare Capacity </t>
    </r>
    <r>
      <rPr>
        <b/>
        <sz val="11"/>
        <color theme="1"/>
        <rFont val="Calibri"/>
        <family val="2"/>
        <scheme val="minor"/>
      </rPr>
      <t xml:space="preserve">Scenario 17 </t>
    </r>
    <r>
      <rPr>
        <sz val="11"/>
        <color theme="1"/>
        <rFont val="Calibri"/>
        <family val="2"/>
        <scheme val="minor"/>
      </rPr>
      <t>(2 kW V2G - Small EV)</t>
    </r>
  </si>
  <si>
    <r>
      <t xml:space="preserve">Spare Capacity </t>
    </r>
    <r>
      <rPr>
        <b/>
        <sz val="11"/>
        <color theme="1"/>
        <rFont val="Calibri"/>
        <family val="2"/>
        <scheme val="minor"/>
      </rPr>
      <t xml:space="preserve">Scenario 18 </t>
    </r>
    <r>
      <rPr>
        <sz val="11"/>
        <color theme="1"/>
        <rFont val="Calibri"/>
        <family val="2"/>
        <scheme val="minor"/>
      </rPr>
      <t>(2 kW V2G - Small EV)</t>
    </r>
  </si>
  <si>
    <t>Electric Vehicle V2G: Peak Load Contribution and Mitigation Scenarios in Korea Through 2020</t>
  </si>
  <si>
    <t xml:space="preserve">2.0 Liter T/Electric </t>
  </si>
  <si>
    <t>Electric</t>
  </si>
  <si>
    <t>EV-PHEVs in Operation (5 Year Life)</t>
  </si>
  <si>
    <t>Assumes 1 in 10 people use a 17 kW Charge</t>
  </si>
  <si>
    <t>Result Model 2: Long Range (200 to 300 miles) EV  (Highway Capable EVs) Charge every 6.5 days</t>
  </si>
  <si>
    <t xml:space="preserve">Charge every 6.25 days (Long Range EVs) </t>
  </si>
  <si>
    <t>Charge every 1.25 days (Short Range EVs)</t>
  </si>
  <si>
    <t>Result Model 3: Short Range (50 miles) EV (Highway Capable EVs) - Charge every 1.25 days</t>
  </si>
  <si>
    <t>Assumption 1: EV-PHEV Sales</t>
  </si>
  <si>
    <t>Assumption 2: Daily Driving</t>
  </si>
  <si>
    <t>Vehicle Sales</t>
  </si>
  <si>
    <t>Source: See References at Bottom</t>
  </si>
  <si>
    <t>Data from Korean Automotive Manufacturers Association</t>
  </si>
  <si>
    <t>Data Derived by assuming growth from 2010 continues with the CAGR from 2003 to 2010 of 1.66%</t>
  </si>
  <si>
    <t>Passenger Vehicle Sales Projection</t>
  </si>
  <si>
    <t>Incomplete Analysis</t>
  </si>
  <si>
    <t>Replace All Passenger Vehicles</t>
  </si>
  <si>
    <t>Result Model 4: Short Range (50 miles) EV (Highway Capable EVs) - Charge every 1.25 days</t>
  </si>
  <si>
    <t>No Selling with V2G</t>
  </si>
  <si>
    <t>No Selling</t>
  </si>
  <si>
    <r>
      <t xml:space="preserve">Spare Capacity </t>
    </r>
    <r>
      <rPr>
        <b/>
        <sz val="11"/>
        <color theme="1"/>
        <rFont val="Calibri"/>
        <family val="2"/>
        <scheme val="minor"/>
      </rPr>
      <t>Scenario 1.1 (No Selling)</t>
    </r>
  </si>
  <si>
    <r>
      <t xml:space="preserve">Spare Capacity </t>
    </r>
    <r>
      <rPr>
        <b/>
        <sz val="11"/>
        <color theme="1"/>
        <rFont val="Calibri"/>
        <family val="2"/>
        <scheme val="minor"/>
      </rPr>
      <t>Scenario 2.1</t>
    </r>
  </si>
  <si>
    <r>
      <t xml:space="preserve">Spare Capacity </t>
    </r>
    <r>
      <rPr>
        <b/>
        <sz val="11"/>
        <color theme="1"/>
        <rFont val="Calibri"/>
        <family val="2"/>
        <scheme val="minor"/>
      </rPr>
      <t xml:space="preserve">Scenario 3.1 </t>
    </r>
  </si>
  <si>
    <r>
      <t xml:space="preserve">Spare Capacity </t>
    </r>
    <r>
      <rPr>
        <b/>
        <sz val="11"/>
        <color theme="1"/>
        <rFont val="Calibri"/>
        <family val="2"/>
        <scheme val="minor"/>
      </rPr>
      <t>Scenario 4.1</t>
    </r>
  </si>
  <si>
    <r>
      <t xml:space="preserve">Spare Capacity </t>
    </r>
    <r>
      <rPr>
        <b/>
        <sz val="11"/>
        <color theme="1"/>
        <rFont val="Calibri"/>
        <family val="2"/>
        <scheme val="minor"/>
      </rPr>
      <t>Scenario 5.1</t>
    </r>
  </si>
  <si>
    <r>
      <t xml:space="preserve">Spare Capacity </t>
    </r>
    <r>
      <rPr>
        <b/>
        <sz val="11"/>
        <color theme="1"/>
        <rFont val="Calibri"/>
        <family val="2"/>
        <scheme val="minor"/>
      </rPr>
      <t>Scenario 6.1</t>
    </r>
  </si>
  <si>
    <t>Assumption 3: Korea Peak Capacity</t>
  </si>
  <si>
    <t>See Data in Cells B5-B12 and C5-C12</t>
  </si>
  <si>
    <t>See References at Bottom for Data Source for these cells: 4th Power Planning</t>
  </si>
  <si>
    <t>Using Tesla Motors' Model S 250 to 300 mile range is a long range EV, and that people drive 40 miles per day 
(charging every 6.5 days), while  a 50 mile would be a short range EV requiring charging every 1.25 days.</t>
  </si>
  <si>
    <t>Power Sector Projections &amp; Data:
The 4th Basic Plan of Long-Term Electricity Supply and Demand (2008 ~ 2022),Republic of Korea, Ministry of Knowledege Economy, Korea Power Exchange
Electric Vehicle and Plug-in-Electric Hybrid Data &amp; Projections:
PHEV(Plug-in Hybrid Electric Vehicles) 도입에 따른 전력수요 영향분석, Republic of Korea, Korea Power Exchange
KPMG Electric Vehicles in South Korea Study 
Method to Caluclate Vehicle Load Demand from Charger Capacity:
Plug-In Hybrid Electric Vehicles: Promise, Issues and Prospects, by Fritz R. Kalhammer, Haresh Kamath, Mark Duvall, Mark Alexander, and Bryan Jungers
Tesla Motors Online, Chargers, Home Connector (16.8 Kw - 240 V) and Soare Mobile Connector (1.8 kW - 120V)</t>
  </si>
  <si>
    <t xml:space="preserve">Using Tesla Motors' Model S 250 to 300 mile range is a long range EV, and that people drive 40 miles per day 
(charging every 6.5 days), while  a 50 mile would be a short range EV requiring charging every 1.25 days.
</t>
  </si>
  <si>
    <t>REFERENCES</t>
  </si>
  <si>
    <t>METHOD</t>
  </si>
  <si>
    <t>Assumption 4: Battery Life</t>
  </si>
  <si>
    <t>Assumption 5: Charging Speeds Demand Scenario 3</t>
  </si>
  <si>
    <t>For Long Range Vehicles, I subjectively assume that for Demand Scenario 3 that only 10% 
of consumers charge from the 17 kW hour charge station. I assume that pricing will be based not only on coincidence to peak, but also to speed or Charger kW. Therefore, I assume most (90%) of the people will charge thieir vehicles at a slower rate over night, perhaps 6.5 times per week.</t>
  </si>
  <si>
    <t>Assumption 6: Selling Power (V2G)</t>
  </si>
  <si>
    <t>To calculate selling for 2kW and 17Kw chargers, I assume that only 1 in 4 vehicles will be selling 
at any given time. This number although arbitrary, represents the fact that only a fraction of vehicles can be used by Smart Grid technology at a given time for V2G battery power as a means to manage intermittency from renewable energy since many other vehicles will be in use at peak hour.</t>
  </si>
  <si>
    <t>Most likely Scenario because short range vehicles need to charge every day</t>
  </si>
  <si>
    <t>RESULTS</t>
  </si>
  <si>
    <t xml:space="preserve">(1) Short Range Vehicles May not Be Practical if Deployed in mass because their short battery range may require frequent charging, which could increase the chances of exceeding peak capacity, therbye creating mass blackouts. </t>
  </si>
  <si>
    <t xml:space="preserve">(2) Regulators must both consider market incentives to avoid peak coincidence, but also market mechansims to discourage faster (high kW) charging </t>
  </si>
  <si>
    <t xml:space="preserve">(3) Korea can sufficiently manage the deployment of 3.5 Electric vehicles by 2020 so long as they are long range and are not all charging at fast speeds during peak hour. </t>
  </si>
  <si>
    <t>Scenario 1.1</t>
  </si>
  <si>
    <t>Hyundai Azera (Grandeur)</t>
  </si>
  <si>
    <t>http://www.hyundaiusa.com/azera/specifications.aspx</t>
  </si>
  <si>
    <t>3.8 Liter (3778 cc)</t>
  </si>
  <si>
    <t>http://www.automobile.com/2011-hyundai-azera-review.html</t>
  </si>
  <si>
    <t>6.1 sec</t>
  </si>
  <si>
    <t>$.10 kwh / 5.33 Gallon</t>
  </si>
  <si>
    <t>Fisker Nina (PHEV)</t>
  </si>
  <si>
    <t>Tesla Blue Star  (EV)</t>
  </si>
  <si>
    <t>Tesla Model S (EV)</t>
  </si>
  <si>
    <t>per day</t>
  </si>
  <si>
    <t>days per year</t>
  </si>
  <si>
    <t>http://fiskerbuzz.com/forums/Thread-Tesla-to-challenge-Fisker-Nina-range</t>
  </si>
  <si>
    <t>http://blogs.edmunds.com/greencaradvisor/2010/05/production-of-fisker-karma-phev-now-delayed-until-february-2011-investor-says.html</t>
  </si>
  <si>
    <t>Total Drivable Days</t>
  </si>
  <si>
    <t>EV Range</t>
  </si>
  <si>
    <t>Gasoline Tank Range</t>
  </si>
  <si>
    <t>miles on kwh per day</t>
  </si>
  <si>
    <t>miles on gasoline per day</t>
  </si>
  <si>
    <t>Total Miles</t>
  </si>
  <si>
    <t>Electricity Share of Driving</t>
  </si>
  <si>
    <t>Fuel Cost/Mile Scenario 1</t>
  </si>
  <si>
    <t>Model 1 for PHEV Fuel Cost</t>
  </si>
  <si>
    <t>Assumes only refuel when empty</t>
  </si>
  <si>
    <t>http://electric-vehicles-cars-bikes.blogspot.com/2010/01/fisker-karma-to-use-a123-batteries.html</t>
  </si>
  <si>
    <t>http://green.autoblog.com/tag/lithium+ion+batteries/</t>
  </si>
  <si>
    <t>http://industry.bnet.com/auto/10003357/fisker-switches-to-batteries-from-a123-which-also-makes-an-investment/</t>
  </si>
  <si>
    <t>Fisker battery costs</t>
  </si>
  <si>
    <t>http://en.wikipedia.org/wiki/Fisker_Automotive</t>
  </si>
  <si>
    <t>http://www.greencarreports.com/blog/1042992_geneva-motor-show-preview-2011-fisker-karma-space-frame</t>
  </si>
  <si>
    <t>battery prices</t>
  </si>
  <si>
    <t>http://gas2.org/2010/05/05/report-nissan-leafs-battery-costs-a-staggeringly-cheap-375kwh-to-produce/</t>
  </si>
  <si>
    <t>http://www.detnews.com/article/20100414/AUTO01/4140347/1148/New-federal-fuel-rules-lead-SAE-agenda</t>
  </si>
  <si>
    <t>Scenario 3</t>
  </si>
  <si>
    <t>http://blogs.edmunds.com/greencaradvisor/2009/03/tesla-model-s-unveiled-a-great-concept-but-now-the-wait-begins.html</t>
  </si>
  <si>
    <t>Tesla</t>
  </si>
  <si>
    <t>http://www.autospies.com/news/Tesla-Mode-S-might-receive-95-kWh-battery-pack-47311/</t>
  </si>
  <si>
    <t>A123 Battery 2016 Costs</t>
  </si>
  <si>
    <t>Operating costs are calculated with 2015 A123 price projections</t>
  </si>
  <si>
    <t xml:space="preserve">Tesla Model S 
(42 kWh Battery) </t>
  </si>
  <si>
    <t>Tesla Model S 
(70 kWh Battery)</t>
  </si>
  <si>
    <t>Tesla Model S 
(95 kWh Battery)</t>
  </si>
  <si>
    <t>2012 special replacement plan</t>
  </si>
  <si>
    <t>Fisker Nina
(22 kWh Battery)</t>
  </si>
  <si>
    <t>year /kWh</t>
  </si>
  <si>
    <t xml:space="preserve">Tesla Blue Star
(42 kWh Battery) </t>
  </si>
  <si>
    <t>Tesla Blue Star
(70 kWh Battery)</t>
  </si>
  <si>
    <t>Tesla Blue Star
(95 kWh Battery)</t>
  </si>
  <si>
    <t>BMW 328i</t>
  </si>
  <si>
    <t>Hyundai Azera</t>
  </si>
  <si>
    <t>6.9 sec</t>
  </si>
  <si>
    <t>6-7 sec (est)</t>
  </si>
  <si>
    <t>Calculating Fuel Costs for a the Fisker PHEV</t>
  </si>
  <si>
    <t>Gasolien Share of Driving</t>
  </si>
  <si>
    <t>Toyota Prius V Generation</t>
  </si>
  <si>
    <t>http://www.consumersearch.com/tires/pirelli-p-zero</t>
  </si>
  <si>
    <t>Tire Costs</t>
  </si>
  <si>
    <t>Each Tire</t>
  </si>
  <si>
    <t>Sum</t>
  </si>
  <si>
    <t>Tire Costs Michelin Pilot Sport PS2</t>
  </si>
  <si>
    <t>http://www.edmunds.com/ownership/howto/articles/43785/article.html</t>
  </si>
  <si>
    <t>Mid-Size Class Luxury High-Performance Sedan Compared: South Korean Energy Price Analysis</t>
  </si>
  <si>
    <t>Maintance &amp; Service Cost Per Mile for an EV</t>
  </si>
  <si>
    <t>http://teslaowner.wordpress.com/2010/03/01/yearly-maintenance/</t>
  </si>
  <si>
    <t>Tires</t>
  </si>
  <si>
    <t>Operating Costs per mile per mile per mile per mile</t>
  </si>
  <si>
    <t xml:space="preserve">maintenance </t>
  </si>
  <si>
    <t>small</t>
  </si>
  <si>
    <t>medium</t>
  </si>
  <si>
    <t>large</t>
  </si>
  <si>
    <t>http://www.montereyherald.com/ci_15490651?source=most_viewed&amp;nclick_check=1</t>
  </si>
  <si>
    <t>Battery Life Cycle &amp; Costs</t>
  </si>
  <si>
    <t>328 feet in 100 meters</t>
  </si>
  <si>
    <t>$10 per foot</t>
  </si>
  <si>
    <t>$20 to $40 dollars  per foot</t>
  </si>
  <si>
    <t>Maintenance Costs</t>
  </si>
  <si>
    <t>http://www.edmunds.com/ownership/maintenance/articles/161086/article.html</t>
  </si>
  <si>
    <t>http://www.commutesolutions.org/pdf/TCOD/AAADrivingCosts2009.pdf</t>
  </si>
  <si>
    <t>Maintenance Per Mile Large Sedan ICE</t>
  </si>
  <si>
    <t>Maintenance Per Mile Medium Sedan ICE</t>
  </si>
  <si>
    <t>Service under Warranty (Tesla)</t>
  </si>
  <si>
    <t xml:space="preserve">Maintence Per Mile Medium EV (65% of ICE) </t>
  </si>
  <si>
    <t xml:space="preserve">Maintence Per Mile Large EV (65% of ICE) </t>
  </si>
  <si>
    <t xml:space="preserve">
(95 kWh Battery) ($350 Kwh)</t>
  </si>
  <si>
    <t>Hypothetical EV</t>
  </si>
  <si>
    <t xml:space="preserve">
(95 kWh Battery) 
($350 Kwh)</t>
  </si>
  <si>
    <t>(95 kWh Battery) 
($325 Kwh)</t>
  </si>
  <si>
    <t>(95 kWh Battery)
 ($300 Kwh)</t>
  </si>
  <si>
    <t>(95 kWh Battery) 
($275 Kwh)</t>
  </si>
  <si>
    <t>(95 kWh Battery) 
($250 Kwh)</t>
  </si>
  <si>
    <t>(95 kWh Battery) 
($225 Kwh)</t>
  </si>
  <si>
    <t>(95 kWh Battery) ($200 Kwh)</t>
  </si>
  <si>
    <t>(95 kWh Battery) ($175 Kwh)</t>
  </si>
  <si>
    <t>(95 kWh Battery) ($150 Kwh)</t>
  </si>
  <si>
    <t xml:space="preserve">
(95 kWh Battery) 
($500 Kwh)</t>
  </si>
  <si>
    <t>Prius</t>
  </si>
  <si>
    <t>http://evauthority.com/the-tesla-battery-pack-challenge/</t>
  </si>
  <si>
    <t>Middle Band</t>
  </si>
  <si>
    <t>Lower Band</t>
  </si>
  <si>
    <t>Upper Band</t>
  </si>
  <si>
    <t>Gasoline Prices</t>
  </si>
  <si>
    <t>avg ICE, and scenarios gas price</t>
  </si>
  <si>
    <t>Battery Life</t>
  </si>
  <si>
    <t>4.025 Liter (4015.50 cc)</t>
  </si>
  <si>
    <t>Mileage</t>
  </si>
  <si>
    <t>Engine Size</t>
  </si>
  <si>
    <t>0-60 Time</t>
  </si>
  <si>
    <t>Cost</t>
  </si>
  <si>
    <t>Mid-Size Class Luxury ICE Compared to EV: Changing Gasoline Prices</t>
  </si>
  <si>
    <t>Average Mid-Size Luxury ICE</t>
  </si>
  <si>
    <t>Ice Cost Per Mile</t>
  </si>
  <si>
    <t>Total Cost-Per Mile</t>
  </si>
  <si>
    <t>Battery Kwh</t>
  </si>
  <si>
    <t>Battery per kWh $</t>
  </si>
  <si>
    <t>Per 33 KwH</t>
  </si>
  <si>
    <t>100 Mile Range</t>
  </si>
  <si>
    <t>200 Mile Range</t>
  </si>
  <si>
    <t>300 Mile Range</t>
  </si>
  <si>
    <t>66 Kwh</t>
  </si>
  <si>
    <t>99 Kwh</t>
  </si>
  <si>
    <t>Per KwH DOE</t>
  </si>
  <si>
    <t>500 Mile Range</t>
  </si>
  <si>
    <t>Projected Costs</t>
  </si>
  <si>
    <t>Real Costs</t>
  </si>
  <si>
    <t>http://www.whitehouse.gov/files/documents/Battery-and-Electric-Vehicle-Report-FINAL.pdf</t>
  </si>
  <si>
    <t>http://www.apteraforum.com/showthread.php?t=4236</t>
  </si>
  <si>
    <t>5-6 est</t>
  </si>
  <si>
    <t>Fisker Nina cost - http://gas2.org/2010/07/21/fisker-closes-deal-now-officially-owns-delaware-manufacturing-plant/</t>
  </si>
  <si>
    <t>MW Capacity</t>
  </si>
  <si>
    <t>Base Load Demand (MW)</t>
  </si>
  <si>
    <t xml:space="preserve">Percentage Base Load of Capacity </t>
  </si>
  <si>
    <t>Capacity (MW)</t>
  </si>
  <si>
    <t>Average (Base) Load (MW)</t>
  </si>
  <si>
    <t>Hypothetical PHEV
(22 kWh Battery)</t>
  </si>
  <si>
    <t>assume not produced to 2015 at $ 350 kwh battery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</si>
</sst>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quot;$&quot;#,##0_);[Red]\(&quot;$&quot;#,##0\)"/>
    <numFmt numFmtId="165" formatCode="&quot;$&quot;#,##0.00_);[Red]\(&quot;$&quot;#,##0.00\)"/>
    <numFmt numFmtId="166" formatCode="_(&quot;$&quot;* #,##0_);_(&quot;$&quot;* \(#,##0\);_(&quot;$&quot;* &quot;-&quot;_);_(@_)"/>
    <numFmt numFmtId="167" formatCode="_(&quot;$&quot;* #,##0.00_);_(&quot;$&quot;* \(#,##0.00\);_(&quot;$&quot;* &quot;-&quot;??_);_(@_)"/>
    <numFmt numFmtId="168" formatCode="&quot;$&quot;#,##0.00"/>
    <numFmt numFmtId="169" formatCode="&quot;$&quot;#,##0"/>
    <numFmt numFmtId="170" formatCode="0.0"/>
    <numFmt numFmtId="171" formatCode="#,##0.000"/>
    <numFmt numFmtId="172" formatCode="#,##0.00000"/>
    <numFmt numFmtId="173" formatCode="0.000"/>
    <numFmt numFmtId="174" formatCode="&quot;$&quot;#,##0.000"/>
    <numFmt numFmtId="175" formatCode="[$₩-412]#,##0.00"/>
  </numFmts>
  <fonts count="22" x14ac:knownFonts="1">
    <font>
      <sz val="11"/>
      <color theme="1"/>
      <name val="Calibri"/>
      <family val="2"/>
      <scheme val="minor"/>
    </font>
    <font>
      <b/>
      <sz val="11"/>
      <color theme="1"/>
      <name val="Calibri"/>
      <family val="2"/>
      <scheme val="minor"/>
    </font>
    <font>
      <u/>
      <sz val="11"/>
      <color theme="10"/>
      <name val="Calibri"/>
      <family val="2"/>
    </font>
    <font>
      <vertAlign val="superscript"/>
      <sz val="11"/>
      <color theme="1"/>
      <name val="Calibri"/>
      <family val="2"/>
      <scheme val="minor"/>
    </font>
    <font>
      <sz val="7.5"/>
      <color theme="1"/>
      <name val="Calibri"/>
      <family val="2"/>
      <scheme val="minor"/>
    </font>
    <font>
      <sz val="11"/>
      <color theme="1" tint="4.9989318521683403E-2"/>
      <name val="Calibri"/>
      <family val="2"/>
      <scheme val="minor"/>
    </font>
    <font>
      <sz val="8"/>
      <name val="Arial"/>
      <family val="2"/>
    </font>
    <font>
      <sz val="9"/>
      <color rgb="FF000000"/>
      <name val="Verdana"/>
      <family val="2"/>
    </font>
    <font>
      <u/>
      <sz val="11"/>
      <color theme="1"/>
      <name val="Calibri"/>
      <family val="2"/>
      <scheme val="minor"/>
    </font>
    <font>
      <sz val="10"/>
      <color rgb="FF000000"/>
      <name val="Gulim"/>
      <family val="2"/>
    </font>
    <font>
      <sz val="10"/>
      <color rgb="FF000000"/>
      <name val="Arial"/>
      <family val="2"/>
    </font>
    <font>
      <sz val="9"/>
      <color rgb="FF000000"/>
      <name val="Arial"/>
      <family val="2"/>
    </font>
    <font>
      <sz val="9"/>
      <color rgb="FFDC7316"/>
      <name val="Arial"/>
      <family val="2"/>
    </font>
    <font>
      <sz val="11"/>
      <color theme="0"/>
      <name val="Calibri"/>
      <family val="2"/>
      <scheme val="minor"/>
    </font>
    <font>
      <sz val="11"/>
      <name val="Calibri"/>
      <family val="2"/>
      <scheme val="minor"/>
    </font>
    <font>
      <sz val="20"/>
      <color theme="0"/>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6"/>
      <color theme="1"/>
      <name val="Calibri"/>
      <family val="2"/>
      <scheme val="minor"/>
    </font>
    <font>
      <sz val="10"/>
      <color rgb="FF444444"/>
      <name val="Arial"/>
      <family val="2"/>
    </font>
    <font>
      <b/>
      <sz val="10"/>
      <color rgb="FF000000"/>
      <name val="Inherit"/>
    </font>
  </fonts>
  <fills count="2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EFEEF"/>
        <bgColor indexed="64"/>
      </patternFill>
    </fill>
    <fill>
      <patternFill patternType="solid">
        <fgColor rgb="FFD3E6E8"/>
        <bgColor indexed="64"/>
      </patternFill>
    </fill>
    <fill>
      <patternFill patternType="solid">
        <fgColor rgb="FFFFFFFF"/>
        <bgColor indexed="64"/>
      </patternFill>
    </fill>
    <fill>
      <patternFill patternType="solid">
        <fgColor theme="5"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2" tint="-0.249977111117893"/>
        <bgColor indexed="64"/>
      </patternFill>
    </fill>
    <fill>
      <patternFill patternType="solid">
        <fgColor rgb="FFD2D89F"/>
        <bgColor indexed="64"/>
      </patternFill>
    </fill>
    <fill>
      <patternFill patternType="solid">
        <fgColor rgb="FFE7EACB"/>
        <bgColor indexed="64"/>
      </patternFill>
    </fill>
    <fill>
      <patternFill patternType="solid">
        <fgColor rgb="FFFAF9F5"/>
        <bgColor indexed="64"/>
      </patternFill>
    </fill>
    <fill>
      <patternFill patternType="solid">
        <fgColor theme="1"/>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3"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auto="1"/>
      </bottom>
      <diagonal/>
    </border>
    <border>
      <left/>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diagonal/>
    </border>
    <border>
      <left style="thin">
        <color rgb="FFD4D4D4"/>
      </left>
      <right style="thin">
        <color rgb="FFD4D4D4"/>
      </right>
      <top/>
      <bottom style="thin">
        <color rgb="FFD4D4D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317">
    <xf numFmtId="0" fontId="0" fillId="0" borderId="0" xfId="0"/>
    <xf numFmtId="0" fontId="2" fillId="0" borderId="0" xfId="1" applyAlignment="1" applyProtection="1"/>
    <xf numFmtId="3" fontId="0" fillId="0" borderId="0" xfId="0" applyNumberFormat="1"/>
    <xf numFmtId="165" fontId="0" fillId="0" borderId="0" xfId="0" applyNumberFormat="1" applyAlignment="1">
      <alignment horizontal="left"/>
    </xf>
    <xf numFmtId="168" fontId="0" fillId="0" borderId="0" xfId="0" applyNumberFormat="1" applyAlignment="1">
      <alignment horizontal="left"/>
    </xf>
    <xf numFmtId="0" fontId="0" fillId="0" borderId="0" xfId="0" applyAlignment="1">
      <alignment horizontal="center"/>
    </xf>
    <xf numFmtId="0" fontId="0" fillId="0" borderId="1" xfId="0" applyBorder="1" applyAlignment="1">
      <alignment horizontal="center"/>
    </xf>
    <xf numFmtId="168" fontId="0" fillId="0" borderId="1" xfId="0" applyNumberFormat="1" applyBorder="1" applyAlignment="1">
      <alignment horizontal="center"/>
    </xf>
    <xf numFmtId="0" fontId="1" fillId="0" borderId="0" xfId="0" applyFont="1"/>
    <xf numFmtId="164" fontId="0" fillId="0" borderId="0" xfId="0" applyNumberFormat="1"/>
    <xf numFmtId="0" fontId="0" fillId="0" borderId="0" xfId="0" applyBorder="1" applyAlignment="1">
      <alignment horizontal="center"/>
    </xf>
    <xf numFmtId="0" fontId="0" fillId="0" borderId="0" xfId="0" applyBorder="1"/>
    <xf numFmtId="0" fontId="0" fillId="0" borderId="0" xfId="0" applyBorder="1" applyAlignment="1">
      <alignment horizontal="center" wrapText="1"/>
    </xf>
    <xf numFmtId="2" fontId="0" fillId="0" borderId="0" xfId="0" applyNumberFormat="1" applyBorder="1" applyAlignment="1">
      <alignment horizontal="center"/>
    </xf>
    <xf numFmtId="0" fontId="0" fillId="0" borderId="0" xfId="0" applyBorder="1" applyAlignment="1">
      <alignment horizontal="right" wrapText="1"/>
    </xf>
    <xf numFmtId="0" fontId="0" fillId="0" borderId="0" xfId="0" applyAlignment="1">
      <alignment horizontal="right"/>
    </xf>
    <xf numFmtId="0" fontId="0" fillId="0" borderId="0" xfId="0" applyBorder="1" applyAlignment="1">
      <alignment horizontal="right"/>
    </xf>
    <xf numFmtId="0" fontId="0" fillId="0" borderId="0" xfId="0" applyAlignment="1">
      <alignment wrapText="1"/>
    </xf>
    <xf numFmtId="169" fontId="0" fillId="0" borderId="0" xfId="0" applyNumberFormat="1" applyBorder="1" applyAlignment="1">
      <alignment horizontal="center"/>
    </xf>
    <xf numFmtId="169" fontId="0" fillId="0" borderId="0" xfId="0" applyNumberFormat="1" applyAlignment="1">
      <alignment horizontal="center"/>
    </xf>
    <xf numFmtId="3" fontId="0" fillId="0" borderId="0" xfId="0" applyNumberFormat="1" applyFill="1" applyBorder="1" applyAlignment="1">
      <alignment horizontal="right"/>
    </xf>
    <xf numFmtId="0" fontId="0" fillId="0" borderId="3" xfId="0" applyBorder="1"/>
    <xf numFmtId="0" fontId="0" fillId="0" borderId="4" xfId="0" applyBorder="1"/>
    <xf numFmtId="3" fontId="0" fillId="0" borderId="2" xfId="0" applyNumberFormat="1" applyFill="1" applyBorder="1" applyAlignment="1">
      <alignment horizontal="right"/>
    </xf>
    <xf numFmtId="0" fontId="0" fillId="2" borderId="0" xfId="0" applyFill="1" applyAlignment="1">
      <alignment horizontal="right"/>
    </xf>
    <xf numFmtId="2" fontId="0" fillId="2" borderId="0" xfId="0" applyNumberFormat="1" applyFill="1" applyBorder="1" applyAlignment="1">
      <alignment horizontal="center"/>
    </xf>
    <xf numFmtId="169" fontId="0" fillId="0" borderId="0" xfId="0" applyNumberFormat="1" applyBorder="1"/>
    <xf numFmtId="164" fontId="0" fillId="0" borderId="0" xfId="0" applyNumberFormat="1" applyBorder="1"/>
    <xf numFmtId="0" fontId="0" fillId="0" borderId="2" xfId="0" applyBorder="1" applyAlignment="1">
      <alignment horizontal="right"/>
    </xf>
    <xf numFmtId="0" fontId="0" fillId="3" borderId="0" xfId="0" applyFill="1" applyAlignment="1">
      <alignment horizontal="center"/>
    </xf>
    <xf numFmtId="0" fontId="0" fillId="4" borderId="0" xfId="0" applyFill="1" applyAlignment="1">
      <alignment horizontal="center"/>
    </xf>
    <xf numFmtId="0" fontId="0" fillId="5" borderId="0" xfId="0" applyFill="1" applyBorder="1" applyAlignment="1">
      <alignment horizontal="center" wrapText="1"/>
    </xf>
    <xf numFmtId="0" fontId="0" fillId="5" borderId="0" xfId="0" applyFill="1" applyAlignment="1">
      <alignment wrapText="1"/>
    </xf>
    <xf numFmtId="0" fontId="0" fillId="0" borderId="0" xfId="0" applyNumberFormat="1"/>
    <xf numFmtId="0" fontId="0" fillId="0" borderId="5" xfId="0" applyFill="1" applyBorder="1" applyAlignment="1">
      <alignment horizontal="center"/>
    </xf>
    <xf numFmtId="0" fontId="0" fillId="0" borderId="1" xfId="0" applyBorder="1" applyAlignment="1">
      <alignment horizontal="right"/>
    </xf>
    <xf numFmtId="169" fontId="0" fillId="0" borderId="1" xfId="0" applyNumberFormat="1" applyBorder="1" applyAlignment="1">
      <alignment horizontal="center"/>
    </xf>
    <xf numFmtId="164" fontId="0" fillId="0" borderId="1" xfId="0" applyNumberFormat="1" applyBorder="1" applyAlignment="1">
      <alignment horizontal="center"/>
    </xf>
    <xf numFmtId="0" fontId="0" fillId="0" borderId="1" xfId="0" applyFill="1" applyBorder="1" applyAlignment="1">
      <alignment horizontal="center"/>
    </xf>
    <xf numFmtId="0" fontId="0" fillId="0" borderId="1" xfId="0" applyBorder="1"/>
    <xf numFmtId="170" fontId="0" fillId="0" borderId="1" xfId="0" applyNumberFormat="1" applyFill="1" applyBorder="1" applyAlignment="1">
      <alignment horizontal="center"/>
    </xf>
    <xf numFmtId="3" fontId="0" fillId="0" borderId="1" xfId="0" applyNumberFormat="1" applyBorder="1"/>
    <xf numFmtId="0" fontId="4" fillId="0" borderId="0" xfId="0" applyFont="1" applyAlignment="1">
      <alignment horizontal="right" vertical="top" wrapText="1"/>
    </xf>
    <xf numFmtId="0" fontId="4" fillId="6" borderId="7" xfId="0" applyFont="1" applyFill="1" applyBorder="1" applyAlignment="1">
      <alignment horizontal="center" wrapText="1"/>
    </xf>
    <xf numFmtId="0" fontId="4" fillId="7" borderId="7" xfId="0" applyFont="1" applyFill="1" applyBorder="1" applyAlignment="1">
      <alignment horizontal="center" wrapText="1"/>
    </xf>
    <xf numFmtId="0" fontId="4" fillId="7" borderId="8" xfId="0" applyFont="1" applyFill="1" applyBorder="1" applyAlignment="1">
      <alignment horizontal="center" wrapText="1"/>
    </xf>
    <xf numFmtId="3" fontId="4" fillId="3" borderId="7" xfId="0" applyNumberFormat="1" applyFont="1" applyFill="1" applyBorder="1" applyAlignment="1">
      <alignment horizontal="right" wrapText="1"/>
    </xf>
    <xf numFmtId="3" fontId="4" fillId="8" borderId="7" xfId="0" applyNumberFormat="1" applyFont="1" applyFill="1" applyBorder="1" applyAlignment="1">
      <alignment horizontal="right" wrapText="1"/>
    </xf>
    <xf numFmtId="0" fontId="4" fillId="8" borderId="7" xfId="0" applyFont="1" applyFill="1" applyBorder="1" applyAlignment="1">
      <alignment horizontal="right" wrapText="1"/>
    </xf>
    <xf numFmtId="0" fontId="4" fillId="3" borderId="7" xfId="0" applyFont="1" applyFill="1" applyBorder="1" applyAlignment="1">
      <alignment horizontal="right" wrapText="1"/>
    </xf>
    <xf numFmtId="0" fontId="4" fillId="8" borderId="0" xfId="0" applyNumberFormat="1" applyFont="1" applyFill="1" applyBorder="1" applyAlignment="1">
      <alignment horizontal="right" wrapText="1"/>
    </xf>
    <xf numFmtId="0" fontId="5" fillId="3" borderId="0" xfId="0" applyFont="1" applyFill="1"/>
    <xf numFmtId="10" fontId="0" fillId="0" borderId="0" xfId="0" applyNumberFormat="1"/>
    <xf numFmtId="10" fontId="1" fillId="0" borderId="0" xfId="0" applyNumberFormat="1" applyFont="1"/>
    <xf numFmtId="1" fontId="0" fillId="0" borderId="0" xfId="0" applyNumberFormat="1"/>
    <xf numFmtId="1" fontId="5" fillId="3" borderId="0" xfId="0" applyNumberFormat="1" applyFont="1" applyFill="1"/>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168" fontId="0" fillId="10" borderId="1" xfId="0" applyNumberFormat="1" applyFill="1" applyBorder="1"/>
    <xf numFmtId="0" fontId="0" fillId="11" borderId="0" xfId="0" applyFill="1" applyAlignment="1"/>
    <xf numFmtId="4" fontId="0" fillId="11" borderId="0" xfId="0" applyNumberFormat="1" applyFill="1"/>
    <xf numFmtId="167" fontId="0" fillId="0" borderId="0" xfId="0" applyNumberFormat="1"/>
    <xf numFmtId="2" fontId="6" fillId="0" borderId="17" xfId="0" applyNumberFormat="1" applyFont="1" applyBorder="1"/>
    <xf numFmtId="2" fontId="6" fillId="0" borderId="5" xfId="0" applyNumberFormat="1" applyFont="1" applyBorder="1"/>
    <xf numFmtId="2" fontId="0" fillId="0" borderId="18" xfId="0" applyNumberFormat="1" applyBorder="1"/>
    <xf numFmtId="0" fontId="0" fillId="0" borderId="19" xfId="0" applyBorder="1"/>
    <xf numFmtId="164" fontId="0" fillId="0" borderId="19" xfId="0" applyNumberFormat="1" applyBorder="1"/>
    <xf numFmtId="0" fontId="0" fillId="0" borderId="0" xfId="0" applyFill="1" applyBorder="1"/>
    <xf numFmtId="166" fontId="0" fillId="0" borderId="0" xfId="0" applyNumberFormat="1"/>
    <xf numFmtId="4" fontId="0" fillId="0" borderId="0" xfId="0" applyNumberFormat="1"/>
    <xf numFmtId="165" fontId="0" fillId="0" borderId="0" xfId="0" applyNumberFormat="1"/>
    <xf numFmtId="0" fontId="7" fillId="0" borderId="0" xfId="0" applyFont="1" applyAlignment="1">
      <alignment horizontal="center" vertical="center"/>
    </xf>
    <xf numFmtId="3" fontId="0" fillId="0" borderId="0" xfId="0" applyNumberFormat="1" applyAlignment="1">
      <alignment horizontal="center"/>
    </xf>
    <xf numFmtId="168" fontId="0" fillId="0" borderId="0" xfId="0" applyNumberFormat="1"/>
    <xf numFmtId="168" fontId="0" fillId="10" borderId="0" xfId="0" applyNumberFormat="1" applyFill="1" applyBorder="1"/>
    <xf numFmtId="0" fontId="0" fillId="3" borderId="0" xfId="0" applyFill="1"/>
    <xf numFmtId="4" fontId="0" fillId="5" borderId="0" xfId="0" applyNumberFormat="1" applyFill="1"/>
    <xf numFmtId="0" fontId="8" fillId="0" borderId="0" xfId="0" applyFont="1"/>
    <xf numFmtId="168" fontId="0" fillId="0" borderId="0" xfId="0" applyNumberFormat="1" applyBorder="1" applyAlignment="1">
      <alignment horizontal="center"/>
    </xf>
    <xf numFmtId="0" fontId="8" fillId="0" borderId="19" xfId="0" applyFont="1" applyBorder="1" applyAlignment="1">
      <alignment horizontal="center"/>
    </xf>
    <xf numFmtId="0" fontId="8" fillId="0" borderId="19" xfId="0" applyFont="1" applyBorder="1"/>
    <xf numFmtId="2" fontId="0" fillId="0" borderId="0" xfId="0" applyNumberFormat="1"/>
    <xf numFmtId="3" fontId="0" fillId="0" borderId="0" xfId="0" applyNumberFormat="1" applyBorder="1"/>
    <xf numFmtId="3" fontId="9" fillId="0" borderId="0" xfId="0" applyNumberFormat="1" applyFont="1" applyBorder="1" applyAlignment="1">
      <alignment horizontal="right" wrapText="1"/>
    </xf>
    <xf numFmtId="0" fontId="10" fillId="0" borderId="0" xfId="0" applyFont="1"/>
    <xf numFmtId="168" fontId="2" fillId="0" borderId="0" xfId="1" applyNumberFormat="1" applyBorder="1" applyAlignment="1" applyProtection="1">
      <alignment horizontal="center"/>
    </xf>
    <xf numFmtId="4" fontId="0" fillId="0" borderId="0" xfId="0" applyNumberFormat="1" applyBorder="1" applyAlignment="1">
      <alignment horizontal="center"/>
    </xf>
    <xf numFmtId="3" fontId="9" fillId="0" borderId="16" xfId="0" applyNumberFormat="1" applyFont="1" applyBorder="1" applyAlignment="1">
      <alignment horizontal="center" wrapText="1"/>
    </xf>
    <xf numFmtId="3" fontId="9" fillId="0" borderId="0" xfId="0" applyNumberFormat="1" applyFont="1" applyBorder="1" applyAlignment="1">
      <alignment horizontal="center" wrapText="1"/>
    </xf>
    <xf numFmtId="10" fontId="9" fillId="0" borderId="16" xfId="0" applyNumberFormat="1" applyFont="1" applyBorder="1" applyAlignment="1">
      <alignment horizontal="center" wrapText="1"/>
    </xf>
    <xf numFmtId="4" fontId="0" fillId="0" borderId="0" xfId="0" applyNumberFormat="1" applyAlignment="1">
      <alignment horizontal="center"/>
    </xf>
    <xf numFmtId="171" fontId="0" fillId="0" borderId="0" xfId="0" applyNumberFormat="1"/>
    <xf numFmtId="0" fontId="11" fillId="13" borderId="21" xfId="0" applyFont="1" applyFill="1" applyBorder="1" applyAlignment="1">
      <alignment horizontal="center" wrapText="1"/>
    </xf>
    <xf numFmtId="0" fontId="11" fillId="14" borderId="21" xfId="0" applyFont="1" applyFill="1" applyBorder="1" applyAlignment="1">
      <alignment horizontal="center" wrapText="1"/>
    </xf>
    <xf numFmtId="0" fontId="2" fillId="15" borderId="22" xfId="1" applyFill="1" applyBorder="1" applyAlignment="1" applyProtection="1">
      <alignment horizontal="center" wrapText="1"/>
    </xf>
    <xf numFmtId="0" fontId="2" fillId="15" borderId="23" xfId="1" applyFill="1" applyBorder="1" applyAlignment="1" applyProtection="1">
      <alignment horizontal="center" wrapText="1"/>
    </xf>
    <xf numFmtId="0" fontId="2" fillId="15" borderId="21" xfId="1" applyFill="1" applyBorder="1" applyAlignment="1" applyProtection="1">
      <alignment horizontal="center" wrapText="1"/>
    </xf>
    <xf numFmtId="0" fontId="0" fillId="21" borderId="0" xfId="0" applyFill="1" applyAlignment="1">
      <alignment horizontal="center"/>
    </xf>
    <xf numFmtId="2" fontId="0" fillId="0" borderId="0" xfId="0" applyNumberFormat="1" applyAlignment="1">
      <alignment horizontal="center"/>
    </xf>
    <xf numFmtId="0" fontId="0" fillId="9" borderId="0" xfId="0" applyFill="1" applyAlignment="1">
      <alignment horizontal="center"/>
    </xf>
    <xf numFmtId="172" fontId="0" fillId="0" borderId="0" xfId="0" applyNumberFormat="1" applyAlignment="1">
      <alignment horizontal="center"/>
    </xf>
    <xf numFmtId="3" fontId="0" fillId="23" borderId="0" xfId="0" applyNumberFormat="1" applyFill="1" applyAlignment="1">
      <alignment horizontal="center"/>
    </xf>
    <xf numFmtId="3" fontId="0" fillId="17" borderId="0" xfId="0" applyNumberFormat="1" applyFill="1" applyAlignment="1">
      <alignment horizontal="center"/>
    </xf>
    <xf numFmtId="0" fontId="0" fillId="5" borderId="0" xfId="0" applyFill="1" applyAlignment="1">
      <alignment horizontal="center"/>
    </xf>
    <xf numFmtId="0" fontId="0" fillId="20" borderId="0" xfId="0" applyFill="1" applyAlignment="1">
      <alignment horizontal="center"/>
    </xf>
    <xf numFmtId="3" fontId="0" fillId="19" borderId="0" xfId="0" applyNumberFormat="1" applyFill="1" applyAlignment="1">
      <alignment horizontal="center"/>
    </xf>
    <xf numFmtId="3" fontId="0" fillId="18" borderId="0" xfId="0" applyNumberFormat="1" applyFill="1" applyAlignment="1">
      <alignment horizontal="center"/>
    </xf>
    <xf numFmtId="168" fontId="0" fillId="0" borderId="0" xfId="0" applyNumberFormat="1" applyAlignment="1">
      <alignment horizontal="center"/>
    </xf>
    <xf numFmtId="3" fontId="0" fillId="5" borderId="0" xfId="0" applyNumberFormat="1" applyFill="1" applyAlignment="1">
      <alignment horizontal="center"/>
    </xf>
    <xf numFmtId="0" fontId="14" fillId="12" borderId="0" xfId="0" applyFont="1" applyFill="1" applyAlignment="1">
      <alignment horizontal="center"/>
    </xf>
    <xf numFmtId="171" fontId="0" fillId="0" borderId="0" xfId="0" applyNumberFormat="1" applyAlignment="1">
      <alignment horizontal="center"/>
    </xf>
    <xf numFmtId="172" fontId="0" fillId="9" borderId="0" xfId="0" applyNumberFormat="1" applyFill="1" applyAlignment="1">
      <alignment horizontal="center"/>
    </xf>
    <xf numFmtId="1" fontId="0" fillId="0" borderId="0" xfId="0" applyNumberFormat="1" applyAlignment="1">
      <alignment horizontal="center"/>
    </xf>
    <xf numFmtId="0" fontId="2" fillId="0" borderId="0" xfId="1" applyAlignment="1" applyProtection="1">
      <alignment horizontal="center"/>
    </xf>
    <xf numFmtId="3" fontId="11" fillId="0" borderId="22" xfId="0" applyNumberFormat="1" applyFont="1" applyBorder="1" applyAlignment="1">
      <alignment horizontal="center" wrapText="1"/>
    </xf>
    <xf numFmtId="0" fontId="11" fillId="0" borderId="23" xfId="0" applyFont="1" applyBorder="1" applyAlignment="1">
      <alignment horizontal="center" wrapText="1"/>
    </xf>
    <xf numFmtId="3" fontId="11" fillId="0" borderId="21" xfId="0" applyNumberFormat="1" applyFont="1" applyBorder="1" applyAlignment="1">
      <alignment horizontal="center" wrapText="1"/>
    </xf>
    <xf numFmtId="0" fontId="12" fillId="0" borderId="0" xfId="0" applyFont="1" applyAlignment="1">
      <alignment horizontal="center"/>
    </xf>
    <xf numFmtId="10" fontId="0" fillId="0" borderId="0" xfId="0" applyNumberFormat="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6" xfId="0" applyBorder="1" applyAlignment="1">
      <alignment horizontal="center"/>
    </xf>
    <xf numFmtId="0" fontId="0" fillId="0" borderId="28" xfId="0" applyBorder="1" applyAlignment="1">
      <alignment horizontal="center"/>
    </xf>
    <xf numFmtId="0" fontId="0" fillId="0" borderId="31" xfId="0" applyBorder="1"/>
    <xf numFmtId="166" fontId="0" fillId="0" borderId="31" xfId="0" applyNumberFormat="1" applyBorder="1"/>
    <xf numFmtId="0" fontId="14" fillId="16" borderId="0" xfId="0" applyFont="1" applyFill="1" applyAlignment="1">
      <alignment horizontal="center"/>
    </xf>
    <xf numFmtId="3" fontId="14" fillId="16" borderId="0" xfId="0" applyNumberFormat="1" applyFont="1" applyFill="1" applyAlignment="1">
      <alignment horizontal="center"/>
    </xf>
    <xf numFmtId="3" fontId="0" fillId="0" borderId="27" xfId="0" applyNumberFormat="1" applyBorder="1" applyAlignment="1">
      <alignment horizontal="center"/>
    </xf>
    <xf numFmtId="4" fontId="14" fillId="5" borderId="27" xfId="0" applyNumberFormat="1" applyFont="1" applyFill="1" applyBorder="1" applyAlignment="1">
      <alignment horizontal="center"/>
    </xf>
    <xf numFmtId="0" fontId="13" fillId="5" borderId="27" xfId="0" applyFont="1" applyFill="1" applyBorder="1" applyAlignment="1">
      <alignment horizontal="center"/>
    </xf>
    <xf numFmtId="3" fontId="13" fillId="5" borderId="27" xfId="0" applyNumberFormat="1" applyFont="1" applyFill="1" applyBorder="1" applyAlignment="1">
      <alignment horizontal="center"/>
    </xf>
    <xf numFmtId="3" fontId="0" fillId="0" borderId="0" xfId="0" applyNumberFormat="1" applyBorder="1" applyAlignment="1">
      <alignment horizontal="center"/>
    </xf>
    <xf numFmtId="172" fontId="13" fillId="5" borderId="27" xfId="0" applyNumberFormat="1" applyFont="1" applyFill="1" applyBorder="1" applyAlignment="1">
      <alignment horizontal="center"/>
    </xf>
    <xf numFmtId="168" fontId="0" fillId="0" borderId="0" xfId="0" applyNumberFormat="1" applyFill="1" applyBorder="1" applyAlignment="1">
      <alignment horizontal="center"/>
    </xf>
    <xf numFmtId="0" fontId="0" fillId="0" borderId="2" xfId="0" applyBorder="1" applyAlignment="1">
      <alignment horizontal="center"/>
    </xf>
    <xf numFmtId="0" fontId="0" fillId="0" borderId="0" xfId="0" applyAlignment="1"/>
    <xf numFmtId="0" fontId="0" fillId="0" borderId="24" xfId="0" applyBorder="1" applyAlignment="1">
      <alignment horizontal="left" wrapText="1"/>
    </xf>
    <xf numFmtId="0" fontId="0" fillId="0" borderId="25" xfId="0" applyBorder="1" applyAlignment="1">
      <alignment horizontal="left"/>
    </xf>
    <xf numFmtId="0" fontId="0" fillId="0" borderId="26"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0" xfId="0" applyAlignment="1">
      <alignment horizontal="center"/>
    </xf>
    <xf numFmtId="0" fontId="0" fillId="5" borderId="6" xfId="0" applyFill="1" applyBorder="1" applyAlignment="1">
      <alignment horizontal="center"/>
    </xf>
    <xf numFmtId="172" fontId="0" fillId="5" borderId="6" xfId="0" applyNumberFormat="1" applyFill="1" applyBorder="1" applyAlignment="1">
      <alignment horizontal="center"/>
    </xf>
    <xf numFmtId="3" fontId="0" fillId="0" borderId="6" xfId="0" applyNumberFormat="1" applyBorder="1" applyAlignment="1">
      <alignment horizontal="center"/>
    </xf>
    <xf numFmtId="0" fontId="0" fillId="5" borderId="27" xfId="0" applyFill="1" applyBorder="1" applyAlignment="1">
      <alignment horizontal="center"/>
    </xf>
    <xf numFmtId="0" fontId="0" fillId="17" borderId="27" xfId="0" applyFill="1" applyBorder="1" applyAlignment="1">
      <alignment horizontal="center"/>
    </xf>
    <xf numFmtId="3" fontId="0" fillId="17" borderId="24" xfId="0" applyNumberFormat="1" applyFill="1" applyBorder="1" applyAlignment="1">
      <alignment horizontal="center"/>
    </xf>
    <xf numFmtId="3" fontId="14" fillId="5" borderId="27" xfId="0" applyNumberFormat="1" applyFont="1" applyFill="1" applyBorder="1" applyAlignment="1">
      <alignment horizontal="center"/>
    </xf>
    <xf numFmtId="0" fontId="17" fillId="0" borderId="0" xfId="0" applyFont="1" applyBorder="1" applyAlignment="1">
      <alignment horizontal="center"/>
    </xf>
    <xf numFmtId="168" fontId="0" fillId="0" borderId="0" xfId="0" applyNumberFormat="1" applyFont="1" applyBorder="1" applyAlignment="1">
      <alignment horizontal="center"/>
    </xf>
    <xf numFmtId="3" fontId="18" fillId="0" borderId="22" xfId="0" applyNumberFormat="1" applyFont="1" applyBorder="1" applyAlignment="1">
      <alignment horizontal="center" wrapText="1"/>
    </xf>
    <xf numFmtId="0" fontId="11" fillId="21" borderId="21" xfId="0" applyFont="1" applyFill="1" applyBorder="1" applyAlignment="1">
      <alignment horizontal="center" wrapText="1"/>
    </xf>
    <xf numFmtId="3" fontId="11" fillId="21" borderId="22" xfId="0" applyNumberFormat="1" applyFont="1" applyFill="1" applyBorder="1" applyAlignment="1">
      <alignment horizontal="center" wrapText="1"/>
    </xf>
    <xf numFmtId="0" fontId="11" fillId="21" borderId="23" xfId="0" applyFont="1" applyFill="1" applyBorder="1" applyAlignment="1">
      <alignment horizontal="center" wrapText="1"/>
    </xf>
    <xf numFmtId="3" fontId="11" fillId="21" borderId="21" xfId="0" applyNumberFormat="1" applyFont="1" applyFill="1" applyBorder="1" applyAlignment="1">
      <alignment horizontal="center" wrapText="1"/>
    </xf>
    <xf numFmtId="0" fontId="0" fillId="16" borderId="0" xfId="0" applyFill="1" applyAlignment="1">
      <alignment horizontal="center"/>
    </xf>
    <xf numFmtId="171" fontId="0" fillId="16" borderId="0" xfId="0" applyNumberFormat="1" applyFill="1" applyAlignment="1">
      <alignment horizontal="center"/>
    </xf>
    <xf numFmtId="3" fontId="0" fillId="16" borderId="0" xfId="0" applyNumberFormat="1" applyFill="1" applyAlignment="1">
      <alignment horizontal="center"/>
    </xf>
    <xf numFmtId="0" fontId="9" fillId="0" borderId="0" xfId="0" applyNumberFormat="1" applyFont="1" applyBorder="1" applyAlignment="1">
      <alignment horizontal="center" wrapText="1"/>
    </xf>
    <xf numFmtId="9" fontId="0" fillId="0" borderId="0" xfId="0" applyNumberFormat="1" applyBorder="1" applyAlignment="1">
      <alignment horizontal="center"/>
    </xf>
    <xf numFmtId="1" fontId="0" fillId="4" borderId="0" xfId="0" applyNumberFormat="1" applyFill="1" applyAlignment="1">
      <alignment horizontal="center"/>
    </xf>
    <xf numFmtId="0" fontId="0" fillId="0" borderId="25" xfId="0" applyBorder="1" applyAlignment="1">
      <alignment horizontal="center"/>
    </xf>
    <xf numFmtId="0" fontId="0" fillId="0" borderId="28" xfId="0" applyBorder="1" applyAlignment="1"/>
    <xf numFmtId="0" fontId="0" fillId="0" borderId="29" xfId="0" applyBorder="1" applyAlignment="1"/>
    <xf numFmtId="0" fontId="0" fillId="0" borderId="30" xfId="0" applyBorder="1" applyAlignment="1"/>
    <xf numFmtId="0" fontId="0" fillId="17" borderId="0" xfId="0" applyFill="1" applyBorder="1" applyAlignment="1">
      <alignment horizontal="center"/>
    </xf>
    <xf numFmtId="2" fontId="0" fillId="16" borderId="0" xfId="0" applyNumberFormat="1" applyFill="1" applyAlignment="1">
      <alignment horizontal="center"/>
    </xf>
    <xf numFmtId="172" fontId="0" fillId="16" borderId="0" xfId="0" applyNumberFormat="1" applyFill="1" applyAlignment="1">
      <alignment horizontal="center"/>
    </xf>
    <xf numFmtId="171" fontId="0" fillId="0" borderId="30" xfId="0" applyNumberFormat="1" applyBorder="1" applyAlignment="1">
      <alignment horizontal="left"/>
    </xf>
    <xf numFmtId="0" fontId="0" fillId="0" borderId="5"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1" fontId="0" fillId="0" borderId="27" xfId="0" applyNumberFormat="1" applyBorder="1" applyAlignment="1">
      <alignment horizontal="center"/>
    </xf>
    <xf numFmtId="2" fontId="0" fillId="0" borderId="27" xfId="0" applyNumberFormat="1" applyBorder="1" applyAlignment="1">
      <alignment horizontal="center"/>
    </xf>
    <xf numFmtId="172" fontId="0" fillId="0" borderId="27" xfId="0" applyNumberFormat="1" applyBorder="1" applyAlignment="1">
      <alignment horizontal="center"/>
    </xf>
    <xf numFmtId="3" fontId="9" fillId="4" borderId="0" xfId="0" applyNumberFormat="1" applyFont="1" applyFill="1" applyBorder="1" applyAlignment="1">
      <alignment horizontal="center" wrapText="1"/>
    </xf>
    <xf numFmtId="0" fontId="0" fillId="5" borderId="0" xfId="0" applyFill="1" applyBorder="1" applyAlignment="1">
      <alignment horizontal="center"/>
    </xf>
    <xf numFmtId="0" fontId="0" fillId="16" borderId="0" xfId="0" applyFill="1" applyBorder="1" applyAlignment="1">
      <alignment horizontal="center"/>
    </xf>
    <xf numFmtId="0" fontId="0" fillId="16" borderId="0" xfId="0" applyFill="1" applyBorder="1" applyAlignment="1">
      <alignment vertical="top"/>
    </xf>
    <xf numFmtId="3" fontId="9" fillId="16" borderId="0" xfId="0" applyNumberFormat="1" applyFont="1" applyFill="1" applyBorder="1" applyAlignment="1">
      <alignment horizontal="center" wrapText="1"/>
    </xf>
    <xf numFmtId="9" fontId="0" fillId="16" borderId="0" xfId="0" applyNumberFormat="1" applyFill="1" applyBorder="1" applyAlignment="1">
      <alignment horizontal="center"/>
    </xf>
    <xf numFmtId="4" fontId="0" fillId="16" borderId="0" xfId="0" applyNumberFormat="1" applyFill="1" applyBorder="1" applyAlignment="1">
      <alignment horizontal="center"/>
    </xf>
    <xf numFmtId="0" fontId="0" fillId="0" borderId="18" xfId="0" applyBorder="1" applyAlignment="1">
      <alignment horizontal="center"/>
    </xf>
    <xf numFmtId="0" fontId="0" fillId="20" borderId="0" xfId="0" applyFill="1" applyBorder="1"/>
    <xf numFmtId="173" fontId="0" fillId="0" borderId="0" xfId="0" applyNumberFormat="1" applyBorder="1" applyAlignment="1">
      <alignment horizontal="center"/>
    </xf>
    <xf numFmtId="174" fontId="0" fillId="0" borderId="1" xfId="0" applyNumberFormat="1" applyBorder="1" applyAlignment="1">
      <alignment horizontal="center"/>
    </xf>
    <xf numFmtId="174" fontId="0" fillId="0" borderId="0" xfId="0" applyNumberFormat="1" applyAlignment="1">
      <alignment horizontal="center"/>
    </xf>
    <xf numFmtId="173" fontId="0" fillId="0" borderId="0" xfId="0" applyNumberFormat="1" applyFill="1" applyBorder="1" applyAlignment="1">
      <alignment horizontal="center"/>
    </xf>
    <xf numFmtId="0" fontId="0" fillId="0" borderId="0" xfId="0" applyAlignment="1">
      <alignment horizontal="center"/>
    </xf>
    <xf numFmtId="0" fontId="0" fillId="0" borderId="0" xfId="0" applyBorder="1" applyAlignment="1">
      <alignment horizontal="center"/>
    </xf>
    <xf numFmtId="168" fontId="0" fillId="0" borderId="1" xfId="0" applyNumberFormat="1" applyFill="1" applyBorder="1" applyAlignment="1">
      <alignment horizontal="center"/>
    </xf>
    <xf numFmtId="0" fontId="0" fillId="0" borderId="0" xfId="0" applyAlignment="1">
      <alignment horizontal="center"/>
    </xf>
    <xf numFmtId="0" fontId="0" fillId="5" borderId="0" xfId="0" applyFill="1" applyAlignment="1">
      <alignment horizontal="center" wrapText="1"/>
    </xf>
    <xf numFmtId="0" fontId="0" fillId="0" borderId="0" xfId="0" applyFill="1" applyBorder="1" applyAlignment="1">
      <alignment horizontal="center"/>
    </xf>
    <xf numFmtId="0" fontId="0" fillId="0" borderId="0" xfId="0" applyBorder="1" applyAlignment="1">
      <alignment horizontal="center"/>
    </xf>
    <xf numFmtId="0" fontId="0" fillId="0" borderId="6" xfId="0" applyBorder="1" applyAlignment="1">
      <alignment horizontal="center"/>
    </xf>
    <xf numFmtId="164" fontId="0" fillId="0" borderId="1" xfId="0" applyNumberFormat="1" applyBorder="1"/>
    <xf numFmtId="0" fontId="0" fillId="0" borderId="1" xfId="0" applyBorder="1" applyAlignment="1">
      <alignment horizontal="center" wrapText="1"/>
    </xf>
    <xf numFmtId="2" fontId="0" fillId="0" borderId="1" xfId="0" applyNumberFormat="1" applyBorder="1" applyAlignment="1">
      <alignment horizontal="center"/>
    </xf>
    <xf numFmtId="0" fontId="0" fillId="5" borderId="0" xfId="0" applyFill="1" applyBorder="1"/>
    <xf numFmtId="2" fontId="0" fillId="5" borderId="0" xfId="0" applyNumberFormat="1" applyFill="1" applyBorder="1" applyAlignment="1">
      <alignment horizontal="center"/>
    </xf>
    <xf numFmtId="0" fontId="0" fillId="5" borderId="0" xfId="0" applyFill="1"/>
    <xf numFmtId="0" fontId="0" fillId="0" borderId="27" xfId="0" applyFill="1" applyBorder="1" applyAlignment="1">
      <alignment horizontal="center"/>
    </xf>
    <xf numFmtId="2" fontId="0" fillId="0" borderId="0" xfId="0" applyNumberFormat="1" applyBorder="1"/>
    <xf numFmtId="0" fontId="0" fillId="0" borderId="6" xfId="0" applyBorder="1"/>
    <xf numFmtId="0" fontId="0" fillId="0" borderId="28" xfId="0" applyBorder="1"/>
    <xf numFmtId="0" fontId="0" fillId="0" borderId="29" xfId="0" applyBorder="1"/>
    <xf numFmtId="0" fontId="0" fillId="0" borderId="29" xfId="0" applyBorder="1" applyAlignment="1">
      <alignment horizontal="center"/>
    </xf>
    <xf numFmtId="9" fontId="0" fillId="0" borderId="29" xfId="0" applyNumberFormat="1" applyBorder="1" applyAlignment="1">
      <alignment horizontal="center"/>
    </xf>
    <xf numFmtId="0" fontId="0" fillId="0" borderId="30" xfId="0" applyBorder="1"/>
    <xf numFmtId="164" fontId="0" fillId="0" borderId="0" xfId="0" applyNumberFormat="1" applyAlignment="1">
      <alignment horizontal="center"/>
    </xf>
    <xf numFmtId="169" fontId="0" fillId="0" borderId="0" xfId="0" applyNumberFormat="1" applyFill="1" applyBorder="1" applyAlignment="1">
      <alignment horizontal="center"/>
    </xf>
    <xf numFmtId="0" fontId="0" fillId="4" borderId="0" xfId="0" applyFill="1" applyAlignment="1">
      <alignment horizontal="center"/>
    </xf>
    <xf numFmtId="0" fontId="0" fillId="0" borderId="0" xfId="0" applyBorder="1" applyAlignment="1">
      <alignment horizontal="center"/>
    </xf>
    <xf numFmtId="2" fontId="0" fillId="3" borderId="4" xfId="0" applyNumberFormat="1" applyFill="1" applyBorder="1" applyAlignment="1">
      <alignment horizontal="center"/>
    </xf>
    <xf numFmtId="0" fontId="0" fillId="0" borderId="2" xfId="0" applyBorder="1"/>
    <xf numFmtId="0" fontId="0" fillId="0" borderId="0" xfId="0" applyAlignment="1"/>
    <xf numFmtId="0" fontId="0" fillId="0" borderId="0" xfId="0" applyBorder="1" applyAlignment="1">
      <alignment horizontal="center"/>
    </xf>
    <xf numFmtId="0" fontId="0" fillId="0" borderId="0" xfId="0" applyAlignment="1">
      <alignment vertical="top"/>
    </xf>
    <xf numFmtId="0" fontId="0" fillId="0" borderId="0" xfId="0" applyBorder="1" applyAlignment="1">
      <alignment horizontal="center"/>
    </xf>
    <xf numFmtId="173" fontId="0" fillId="0" borderId="0" xfId="0" applyNumberFormat="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5" borderId="29" xfId="0" applyFill="1" applyBorder="1" applyAlignment="1">
      <alignment horizontal="center" wrapText="1"/>
    </xf>
    <xf numFmtId="175" fontId="0" fillId="0" borderId="0" xfId="0" applyNumberFormat="1"/>
    <xf numFmtId="171" fontId="0" fillId="0" borderId="1" xfId="0" applyNumberFormat="1" applyBorder="1" applyAlignment="1">
      <alignment horizontal="center"/>
    </xf>
    <xf numFmtId="173" fontId="0" fillId="0" borderId="1" xfId="0" applyNumberFormat="1" applyBorder="1" applyAlignment="1">
      <alignment horizontal="center"/>
    </xf>
    <xf numFmtId="0" fontId="0" fillId="26" borderId="0" xfId="0" applyFill="1"/>
    <xf numFmtId="0" fontId="0" fillId="26" borderId="0" xfId="0" applyFill="1" applyAlignment="1">
      <alignment wrapText="1"/>
    </xf>
    <xf numFmtId="0" fontId="0" fillId="26" borderId="0" xfId="0" applyFill="1" applyAlignment="1"/>
    <xf numFmtId="0" fontId="0" fillId="26" borderId="0" xfId="0" applyFill="1" applyBorder="1" applyAlignment="1">
      <alignment horizontal="center"/>
    </xf>
    <xf numFmtId="168" fontId="0" fillId="26" borderId="0" xfId="0" applyNumberFormat="1" applyFill="1" applyBorder="1" applyAlignment="1">
      <alignment horizontal="center"/>
    </xf>
    <xf numFmtId="0" fontId="21" fillId="26" borderId="0" xfId="0" applyFont="1" applyFill="1" applyAlignment="1">
      <alignment wrapText="1"/>
    </xf>
    <xf numFmtId="168" fontId="0" fillId="0" borderId="0" xfId="0" applyNumberFormat="1" applyAlignment="1"/>
    <xf numFmtId="174" fontId="0" fillId="0" borderId="0" xfId="0" applyNumberFormat="1"/>
    <xf numFmtId="173" fontId="0" fillId="0" borderId="0" xfId="0" applyNumberFormat="1"/>
    <xf numFmtId="168" fontId="0" fillId="0" borderId="29" xfId="0" applyNumberFormat="1" applyBorder="1"/>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xf numFmtId="0" fontId="0" fillId="0" borderId="0" xfId="0" applyFill="1" applyBorder="1" applyAlignment="1">
      <alignment horizontal="center"/>
    </xf>
    <xf numFmtId="0" fontId="0" fillId="0" borderId="0" xfId="0" applyAlignment="1">
      <alignment horizontal="center"/>
    </xf>
    <xf numFmtId="0" fontId="0" fillId="20" borderId="0" xfId="0" applyFill="1" applyAlignment="1">
      <alignment horizontal="center"/>
    </xf>
    <xf numFmtId="169" fontId="0" fillId="0" borderId="0" xfId="0" applyNumberFormat="1"/>
    <xf numFmtId="168" fontId="0" fillId="0" borderId="0" xfId="0" applyNumberFormat="1" applyFont="1"/>
    <xf numFmtId="3" fontId="0" fillId="2" borderId="0" xfId="0" applyNumberFormat="1" applyFill="1" applyAlignment="1">
      <alignment horizontal="center"/>
    </xf>
    <xf numFmtId="0" fontId="0" fillId="0" borderId="1" xfId="0" applyNumberFormat="1" applyBorder="1" applyAlignment="1">
      <alignment horizontal="center"/>
    </xf>
    <xf numFmtId="3" fontId="0" fillId="0" borderId="1" xfId="0" applyNumberFormat="1" applyBorder="1" applyAlignment="1">
      <alignment horizontal="center"/>
    </xf>
    <xf numFmtId="10" fontId="0" fillId="0" borderId="1" xfId="0" applyNumberFormat="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xf numFmtId="0" fontId="0" fillId="0" borderId="4" xfId="0" applyBorder="1" applyAlignment="1"/>
    <xf numFmtId="2" fontId="0" fillId="5" borderId="27" xfId="0" applyNumberFormat="1" applyFill="1" applyBorder="1" applyAlignment="1">
      <alignment horizontal="center"/>
    </xf>
    <xf numFmtId="2" fontId="0" fillId="5" borderId="0" xfId="0" applyNumberFormat="1" applyFill="1" applyBorder="1" applyAlignment="1">
      <alignment horizontal="center"/>
    </xf>
    <xf numFmtId="0" fontId="0" fillId="0" borderId="0" xfId="0" applyFill="1" applyBorder="1" applyAlignment="1">
      <alignment horizontal="center"/>
    </xf>
    <xf numFmtId="0" fontId="0" fillId="0" borderId="0" xfId="0" applyBorder="1" applyAlignment="1"/>
    <xf numFmtId="2" fontId="20" fillId="0" borderId="0" xfId="0" applyNumberFormat="1" applyFont="1" applyAlignment="1">
      <alignment wrapText="1"/>
    </xf>
    <xf numFmtId="2" fontId="0" fillId="0" borderId="0" xfId="0" applyNumberFormat="1" applyAlignment="1"/>
    <xf numFmtId="0" fontId="0" fillId="2" borderId="24" xfId="0" applyFill="1" applyBorder="1" applyAlignment="1">
      <alignment horizontal="center"/>
    </xf>
    <xf numFmtId="0" fontId="0" fillId="2" borderId="25" xfId="0" applyFill="1" applyBorder="1" applyAlignment="1">
      <alignment horizontal="center"/>
    </xf>
    <xf numFmtId="0" fontId="0" fillId="2" borderId="26"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2" xfId="0" applyFill="1" applyBorder="1" applyAlignment="1">
      <alignment horizontal="center"/>
    </xf>
    <xf numFmtId="0" fontId="0" fillId="0" borderId="0" xfId="0" applyBorder="1" applyAlignment="1">
      <alignment vertical="top"/>
    </xf>
    <xf numFmtId="0" fontId="0" fillId="0" borderId="0" xfId="0" applyAlignment="1"/>
    <xf numFmtId="0" fontId="15" fillId="16" borderId="0" xfId="0" applyFont="1" applyFill="1" applyAlignment="1">
      <alignment horizontal="center"/>
    </xf>
    <xf numFmtId="0" fontId="0" fillId="0" borderId="0" xfId="0" applyAlignment="1">
      <alignment horizontal="center"/>
    </xf>
    <xf numFmtId="0" fontId="0" fillId="20" borderId="0" xfId="0" applyFill="1" applyAlignment="1">
      <alignment horizontal="center"/>
    </xf>
    <xf numFmtId="0" fontId="0" fillId="22" borderId="0" xfId="0" applyFill="1" applyAlignment="1">
      <alignment horizontal="center"/>
    </xf>
    <xf numFmtId="0" fontId="1" fillId="25" borderId="27" xfId="0" applyFont="1" applyFill="1"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24" borderId="0" xfId="0" applyFill="1" applyAlignment="1">
      <alignment horizontal="center"/>
    </xf>
    <xf numFmtId="0" fontId="16" fillId="0" borderId="0" xfId="0" applyFont="1" applyAlignment="1">
      <alignment horizontal="center" vertical="center"/>
    </xf>
    <xf numFmtId="0" fontId="0" fillId="0" borderId="0" xfId="0" applyAlignment="1">
      <alignment horizontal="center" vertical="center"/>
    </xf>
    <xf numFmtId="0" fontId="1" fillId="25" borderId="0" xfId="0" applyFont="1" applyFill="1" applyAlignment="1">
      <alignment horizontal="center"/>
    </xf>
    <xf numFmtId="0" fontId="1" fillId="0" borderId="0" xfId="0" applyFont="1" applyAlignment="1">
      <alignment horizontal="center"/>
    </xf>
    <xf numFmtId="0" fontId="19" fillId="4" borderId="0" xfId="0" applyFont="1" applyFill="1" applyAlignment="1">
      <alignment horizontal="center"/>
    </xf>
    <xf numFmtId="0" fontId="0" fillId="4" borderId="0" xfId="0" applyFill="1" applyAlignment="1">
      <alignment horizontal="center"/>
    </xf>
    <xf numFmtId="0" fontId="16" fillId="4" borderId="0" xfId="0" applyFont="1" applyFill="1" applyAlignment="1">
      <alignment horizontal="center"/>
    </xf>
    <xf numFmtId="0" fontId="0" fillId="0" borderId="0" xfId="0" applyBorder="1" applyAlignment="1">
      <alignment horizontal="left" vertical="top" wrapText="1"/>
    </xf>
    <xf numFmtId="0" fontId="0" fillId="0" borderId="6" xfId="0" applyBorder="1" applyAlignment="1">
      <alignment vertical="top"/>
    </xf>
    <xf numFmtId="0" fontId="0" fillId="0" borderId="27" xfId="0" applyBorder="1" applyAlignment="1">
      <alignment horizontal="center" vertical="top" wrapText="1"/>
    </xf>
    <xf numFmtId="0" fontId="0" fillId="0" borderId="0" xfId="0" applyAlignment="1">
      <alignment horizontal="center" vertical="top"/>
    </xf>
    <xf numFmtId="0" fontId="0" fillId="0" borderId="27" xfId="0" applyBorder="1" applyAlignment="1">
      <alignment horizontal="center" vertical="top"/>
    </xf>
    <xf numFmtId="0" fontId="0" fillId="0" borderId="0" xfId="0" applyAlignment="1">
      <alignment wrapText="1"/>
    </xf>
    <xf numFmtId="0" fontId="0" fillId="0" borderId="24" xfId="0" applyBorder="1" applyAlignment="1">
      <alignment horizontal="left" wrapText="1"/>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4" fillId="6" borderId="12" xfId="0" applyFont="1" applyFill="1" applyBorder="1" applyAlignment="1">
      <alignment horizontal="center" wrapText="1"/>
    </xf>
    <xf numFmtId="0" fontId="4" fillId="6" borderId="13" xfId="0" applyFont="1" applyFill="1" applyBorder="1" applyAlignment="1">
      <alignment horizontal="center" wrapText="1"/>
    </xf>
    <xf numFmtId="0" fontId="4" fillId="6" borderId="15" xfId="0" applyFont="1" applyFill="1" applyBorder="1" applyAlignment="1">
      <alignment horizontal="center" wrapText="1"/>
    </xf>
    <xf numFmtId="0" fontId="4" fillId="6" borderId="16" xfId="0" applyFont="1" applyFill="1" applyBorder="1" applyAlignment="1">
      <alignment horizontal="center" wrapText="1"/>
    </xf>
    <xf numFmtId="0" fontId="0" fillId="9" borderId="4" xfId="0" applyFill="1" applyBorder="1" applyAlignment="1"/>
    <xf numFmtId="0" fontId="0" fillId="11" borderId="0" xfId="0" applyFill="1" applyAlignment="1"/>
    <xf numFmtId="0" fontId="4" fillId="6" borderId="10" xfId="0" applyFont="1" applyFill="1" applyBorder="1" applyAlignment="1">
      <alignment horizontal="center" wrapText="1"/>
    </xf>
    <xf numFmtId="0" fontId="4" fillId="6" borderId="11" xfId="0" applyFont="1" applyFill="1" applyBorder="1" applyAlignment="1">
      <alignment horizontal="center" wrapText="1"/>
    </xf>
    <xf numFmtId="0" fontId="4" fillId="7" borderId="10" xfId="0" applyFont="1" applyFill="1" applyBorder="1" applyAlignment="1">
      <alignment horizontal="center" wrapText="1"/>
    </xf>
    <xf numFmtId="0" fontId="4" fillId="7" borderId="11" xfId="0" applyFont="1" applyFill="1" applyBorder="1" applyAlignment="1">
      <alignment horizontal="center" wrapText="1"/>
    </xf>
    <xf numFmtId="0" fontId="4" fillId="6" borderId="9" xfId="0" applyFont="1" applyFill="1" applyBorder="1" applyAlignment="1">
      <alignment horizontal="center" wrapText="1"/>
    </xf>
    <xf numFmtId="0" fontId="4" fillId="6" borderId="14" xfId="0" applyFont="1" applyFill="1" applyBorder="1" applyAlignment="1">
      <alignment horizontal="center" wrapText="1"/>
    </xf>
    <xf numFmtId="0" fontId="4" fillId="7" borderId="9" xfId="0" applyFont="1" applyFill="1" applyBorder="1" applyAlignment="1">
      <alignment horizontal="center" wrapText="1"/>
    </xf>
    <xf numFmtId="0" fontId="4" fillId="7" borderId="14" xfId="0" applyFont="1" applyFill="1" applyBorder="1" applyAlignment="1">
      <alignment horizontal="center" wrapText="1"/>
    </xf>
    <xf numFmtId="0" fontId="4" fillId="7" borderId="20" xfId="0"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colors>
    <mruColors>
      <color rgb="FF9900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en-US"/>
              <a:t>Luxury</a:t>
            </a:r>
            <a:r>
              <a:rPr lang="en-US" altLang="en-US" baseline="0"/>
              <a:t> EV Costs Compared to ICE Costs: South Korean Energy Prices</a:t>
            </a:r>
            <a:endParaRPr lang="en-US" altLang="en-US"/>
          </a:p>
        </c:rich>
      </c:tx>
      <c:layout>
        <c:manualLayout>
          <c:xMode val="edge"/>
          <c:yMode val="edge"/>
          <c:x val="0.252927467788014"/>
          <c:y val="0.0289371174179188"/>
        </c:manualLayout>
      </c:layout>
      <c:overlay val="1"/>
    </c:title>
    <c:autoTitleDeleted val="0"/>
    <c:plotArea>
      <c:layout>
        <c:manualLayout>
          <c:layoutTarget val="inner"/>
          <c:xMode val="edge"/>
          <c:yMode val="edge"/>
          <c:x val="0.0754002517825298"/>
          <c:y val="0.110787620662609"/>
          <c:w val="0.895381476566312"/>
          <c:h val="0.697936806313235"/>
        </c:manualLayout>
      </c:layout>
      <c:lineChart>
        <c:grouping val="standard"/>
        <c:varyColors val="0"/>
        <c:ser>
          <c:idx val="0"/>
          <c:order val="0"/>
          <c:tx>
            <c:strRef>
              <c:f>'EV Analysis Per Mile Compared'!$L$23</c:f>
              <c:strCache>
                <c:ptCount val="1"/>
                <c:pt idx="0">
                  <c:v>Gensis 4.6 liter V8</c:v>
                </c:pt>
              </c:strCache>
            </c:strRef>
          </c:tx>
          <c:spPr>
            <a:ln>
              <a:solidFill>
                <a:srgbClr val="00B0F0"/>
              </a:solidFill>
            </a:ln>
          </c:spPr>
          <c:marker>
            <c:symbol val="none"/>
          </c:marker>
          <c:cat>
            <c:numRef>
              <c:f>'EV Analysis Per Mile Compared'!$K$29:$K$39</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Compared'!$L$29:$L$39</c:f>
              <c:numCache>
                <c:formatCode>"$"#,##0</c:formatCode>
                <c:ptCount val="11"/>
                <c:pt idx="0">
                  <c:v>39500.0</c:v>
                </c:pt>
                <c:pt idx="1">
                  <c:v>42945.26315789473</c:v>
                </c:pt>
                <c:pt idx="2">
                  <c:v>46390.52631578947</c:v>
                </c:pt>
                <c:pt idx="3">
                  <c:v>49835.78947368421</c:v>
                </c:pt>
                <c:pt idx="4">
                  <c:v>53281.05263157894</c:v>
                </c:pt>
                <c:pt idx="5">
                  <c:v>56726.31578947368</c:v>
                </c:pt>
                <c:pt idx="6">
                  <c:v>60171.57894736842</c:v>
                </c:pt>
                <c:pt idx="7">
                  <c:v>63616.84210526316</c:v>
                </c:pt>
                <c:pt idx="8">
                  <c:v>67062.1052631579</c:v>
                </c:pt>
                <c:pt idx="9">
                  <c:v>70507.36842105263</c:v>
                </c:pt>
                <c:pt idx="10">
                  <c:v>73952.63157894735</c:v>
                </c:pt>
              </c:numCache>
            </c:numRef>
          </c:val>
          <c:smooth val="0"/>
        </c:ser>
        <c:ser>
          <c:idx val="1"/>
          <c:order val="1"/>
          <c:tx>
            <c:strRef>
              <c:f>'EV Analysis Per Mile Compared'!$M$23</c:f>
              <c:strCache>
                <c:ptCount val="1"/>
                <c:pt idx="0">
                  <c:v>Audi A6 3.0 T</c:v>
                </c:pt>
              </c:strCache>
            </c:strRef>
          </c:tx>
          <c:spPr>
            <a:ln>
              <a:solidFill>
                <a:srgbClr val="7030A0"/>
              </a:solidFill>
            </a:ln>
          </c:spPr>
          <c:marker>
            <c:symbol val="none"/>
          </c:marker>
          <c:cat>
            <c:numRef>
              <c:f>'EV Analysis Per Mile Compared'!$K$29:$K$39</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Compared'!$M$29:$M$39</c:f>
              <c:numCache>
                <c:formatCode>"$"#,##0</c:formatCode>
                <c:ptCount val="11"/>
                <c:pt idx="0">
                  <c:v>45200.0</c:v>
                </c:pt>
                <c:pt idx="1">
                  <c:v>48378.09523809524</c:v>
                </c:pt>
                <c:pt idx="2">
                  <c:v>51556.19047619047</c:v>
                </c:pt>
                <c:pt idx="3">
                  <c:v>54734.28571428571</c:v>
                </c:pt>
                <c:pt idx="4">
                  <c:v>57912.38095238095</c:v>
                </c:pt>
                <c:pt idx="5">
                  <c:v>61090.4761904762</c:v>
                </c:pt>
                <c:pt idx="6">
                  <c:v>64268.57142857143</c:v>
                </c:pt>
                <c:pt idx="7">
                  <c:v>67446.66666666667</c:v>
                </c:pt>
                <c:pt idx="8">
                  <c:v>70624.7619047619</c:v>
                </c:pt>
                <c:pt idx="9">
                  <c:v>73802.85714285714</c:v>
                </c:pt>
                <c:pt idx="10">
                  <c:v>76980.95238095238</c:v>
                </c:pt>
              </c:numCache>
            </c:numRef>
          </c:val>
          <c:smooth val="0"/>
        </c:ser>
        <c:ser>
          <c:idx val="2"/>
          <c:order val="2"/>
          <c:tx>
            <c:strRef>
              <c:f>'EV Analysis Per Mile Compared'!$N$23</c:f>
              <c:strCache>
                <c:ptCount val="1"/>
                <c:pt idx="0">
                  <c:v>Mercedes E 550 </c:v>
                </c:pt>
              </c:strCache>
            </c:strRef>
          </c:tx>
          <c:spPr>
            <a:ln>
              <a:solidFill>
                <a:srgbClr val="FF0000"/>
              </a:solidFill>
            </a:ln>
          </c:spPr>
          <c:marker>
            <c:symbol val="none"/>
          </c:marker>
          <c:cat>
            <c:numRef>
              <c:f>'EV Analysis Per Mile Compared'!$K$29:$K$39</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Compared'!$N$29:$N$39</c:f>
              <c:numCache>
                <c:formatCode>"$"#,##0</c:formatCode>
                <c:ptCount val="11"/>
                <c:pt idx="0">
                  <c:v>56300.0</c:v>
                </c:pt>
                <c:pt idx="1">
                  <c:v>59901.11111111111</c:v>
                </c:pt>
                <c:pt idx="2">
                  <c:v>63502.22222222222</c:v>
                </c:pt>
                <c:pt idx="3">
                  <c:v>67103.33333333333</c:v>
                </c:pt>
                <c:pt idx="4">
                  <c:v>70704.44444444444</c:v>
                </c:pt>
                <c:pt idx="5">
                  <c:v>74305.55555555556</c:v>
                </c:pt>
                <c:pt idx="6">
                  <c:v>77906.66666666667</c:v>
                </c:pt>
                <c:pt idx="7">
                  <c:v>81507.77777777778</c:v>
                </c:pt>
                <c:pt idx="8">
                  <c:v>85108.8888888889</c:v>
                </c:pt>
                <c:pt idx="9">
                  <c:v>88710.0</c:v>
                </c:pt>
                <c:pt idx="10">
                  <c:v>92311.1111111111</c:v>
                </c:pt>
              </c:numCache>
            </c:numRef>
          </c:val>
          <c:smooth val="0"/>
        </c:ser>
        <c:ser>
          <c:idx val="5"/>
          <c:order val="3"/>
          <c:tx>
            <c:strRef>
              <c:f>'EV Analysis Per Mile Compared'!$O$23</c:f>
              <c:strCache>
                <c:ptCount val="1"/>
                <c:pt idx="0">
                  <c:v>BMW 535i</c:v>
                </c:pt>
              </c:strCache>
            </c:strRef>
          </c:tx>
          <c:marker>
            <c:symbol val="none"/>
          </c:marker>
          <c:val>
            <c:numRef>
              <c:f>'EV Analysis Per Mile Compared'!$O$29:$O$39</c:f>
              <c:numCache>
                <c:formatCode>"$"#,##0</c:formatCode>
                <c:ptCount val="11"/>
                <c:pt idx="0">
                  <c:v>51250.0</c:v>
                </c:pt>
                <c:pt idx="1">
                  <c:v>54555.0</c:v>
                </c:pt>
                <c:pt idx="2">
                  <c:v>57860.0</c:v>
                </c:pt>
                <c:pt idx="3">
                  <c:v>61165.0</c:v>
                </c:pt>
                <c:pt idx="4">
                  <c:v>64470.0</c:v>
                </c:pt>
                <c:pt idx="5">
                  <c:v>67775.0</c:v>
                </c:pt>
                <c:pt idx="6">
                  <c:v>71080.0</c:v>
                </c:pt>
                <c:pt idx="7">
                  <c:v>74385.0</c:v>
                </c:pt>
                <c:pt idx="8">
                  <c:v>77690.0</c:v>
                </c:pt>
                <c:pt idx="9">
                  <c:v>80995.0</c:v>
                </c:pt>
                <c:pt idx="10">
                  <c:v>84300.0</c:v>
                </c:pt>
              </c:numCache>
            </c:numRef>
          </c:val>
          <c:smooth val="0"/>
        </c:ser>
        <c:ser>
          <c:idx val="4"/>
          <c:order val="4"/>
          <c:tx>
            <c:strRef>
              <c:f>'EV Analysis Per Mile Compared'!$P$23</c:f>
              <c:strCache>
                <c:ptCount val="1"/>
                <c:pt idx="0">
                  <c:v>Tesla Model S _x000d_(42 kWh Battery) </c:v>
                </c:pt>
              </c:strCache>
            </c:strRef>
          </c:tx>
          <c:spPr>
            <a:ln w="31750">
              <a:solidFill>
                <a:schemeClr val="tx1">
                  <a:lumMod val="95000"/>
                  <a:lumOff val="5000"/>
                </a:schemeClr>
              </a:solidFill>
              <a:prstDash val="lgDashDot"/>
            </a:ln>
          </c:spPr>
          <c:marker>
            <c:symbol val="none"/>
          </c:marker>
          <c:cat>
            <c:numRef>
              <c:f>'EV Analysis Per Mile Compared'!$K$29:$K$39</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Compared'!$P$29:$P$39</c:f>
              <c:numCache>
                <c:formatCode>"$"#,##0</c:formatCode>
                <c:ptCount val="11"/>
                <c:pt idx="0">
                  <c:v>57400.0</c:v>
                </c:pt>
                <c:pt idx="1">
                  <c:v>59666.9</c:v>
                </c:pt>
                <c:pt idx="2">
                  <c:v>61933.8</c:v>
                </c:pt>
                <c:pt idx="3">
                  <c:v>64200.7</c:v>
                </c:pt>
                <c:pt idx="4">
                  <c:v>66467.6</c:v>
                </c:pt>
                <c:pt idx="5">
                  <c:v>68734.5</c:v>
                </c:pt>
                <c:pt idx="6">
                  <c:v>71001.4</c:v>
                </c:pt>
                <c:pt idx="7">
                  <c:v>73268.3</c:v>
                </c:pt>
                <c:pt idx="8">
                  <c:v>75535.2</c:v>
                </c:pt>
                <c:pt idx="9">
                  <c:v>77802.1</c:v>
                </c:pt>
                <c:pt idx="10">
                  <c:v>80069.0</c:v>
                </c:pt>
              </c:numCache>
            </c:numRef>
          </c:val>
          <c:smooth val="0"/>
        </c:ser>
        <c:ser>
          <c:idx val="6"/>
          <c:order val="5"/>
          <c:tx>
            <c:strRef>
              <c:f>'EV Analysis Per Mile Compared'!$Q$23</c:f>
              <c:strCache>
                <c:ptCount val="1"/>
                <c:pt idx="0">
                  <c:v>Tesla Model S _x000d_(70 kWh Battery)</c:v>
                </c:pt>
              </c:strCache>
            </c:strRef>
          </c:tx>
          <c:spPr>
            <a:ln>
              <a:solidFill>
                <a:schemeClr val="tx1"/>
              </a:solidFill>
              <a:prstDash val="sysDash"/>
            </a:ln>
          </c:spPr>
          <c:marker>
            <c:symbol val="none"/>
          </c:marker>
          <c:val>
            <c:numRef>
              <c:f>'EV Analysis Per Mile Compared'!$Q$29:$Q$39</c:f>
              <c:numCache>
                <c:formatCode>"$"#,##0</c:formatCode>
                <c:ptCount val="11"/>
                <c:pt idx="0">
                  <c:v>71400.0</c:v>
                </c:pt>
                <c:pt idx="1">
                  <c:v>74646.9</c:v>
                </c:pt>
                <c:pt idx="2">
                  <c:v>77893.8</c:v>
                </c:pt>
                <c:pt idx="3">
                  <c:v>81140.7</c:v>
                </c:pt>
                <c:pt idx="4">
                  <c:v>84387.6</c:v>
                </c:pt>
                <c:pt idx="5">
                  <c:v>87634.5</c:v>
                </c:pt>
                <c:pt idx="6">
                  <c:v>90881.4</c:v>
                </c:pt>
                <c:pt idx="7">
                  <c:v>94128.3</c:v>
                </c:pt>
                <c:pt idx="8">
                  <c:v>97375.2</c:v>
                </c:pt>
                <c:pt idx="9">
                  <c:v>100622.1</c:v>
                </c:pt>
                <c:pt idx="10">
                  <c:v>103869.0</c:v>
                </c:pt>
              </c:numCache>
            </c:numRef>
          </c:val>
          <c:smooth val="0"/>
        </c:ser>
        <c:ser>
          <c:idx val="7"/>
          <c:order val="6"/>
          <c:tx>
            <c:strRef>
              <c:f>'EV Analysis Per Mile Compared'!$R$23</c:f>
              <c:strCache>
                <c:ptCount val="1"/>
                <c:pt idx="0">
                  <c:v>Tesla Model S _x000d_(95 kWh Battery)</c:v>
                </c:pt>
              </c:strCache>
            </c:strRef>
          </c:tx>
          <c:spPr>
            <a:ln>
              <a:solidFill>
                <a:schemeClr val="tx1"/>
              </a:solidFill>
            </a:ln>
          </c:spPr>
          <c:marker>
            <c:symbol val="none"/>
          </c:marker>
          <c:val>
            <c:numRef>
              <c:f>'EV Analysis Per Mile Compared'!$R$29:$R$39</c:f>
              <c:numCache>
                <c:formatCode>"$"#,##0</c:formatCode>
                <c:ptCount val="11"/>
                <c:pt idx="0">
                  <c:v>83900.0</c:v>
                </c:pt>
                <c:pt idx="1">
                  <c:v>88021.9</c:v>
                </c:pt>
                <c:pt idx="2">
                  <c:v>92143.8</c:v>
                </c:pt>
                <c:pt idx="3">
                  <c:v>96265.7</c:v>
                </c:pt>
                <c:pt idx="4">
                  <c:v>100387.6</c:v>
                </c:pt>
                <c:pt idx="5">
                  <c:v>104509.5</c:v>
                </c:pt>
                <c:pt idx="6">
                  <c:v>108631.4</c:v>
                </c:pt>
                <c:pt idx="7">
                  <c:v>112753.3</c:v>
                </c:pt>
                <c:pt idx="8">
                  <c:v>116875.2</c:v>
                </c:pt>
                <c:pt idx="9">
                  <c:v>120997.1</c:v>
                </c:pt>
                <c:pt idx="10">
                  <c:v>125119.0</c:v>
                </c:pt>
              </c:numCache>
            </c:numRef>
          </c:val>
          <c:smooth val="0"/>
        </c:ser>
        <c:ser>
          <c:idx val="3"/>
          <c:order val="7"/>
          <c:tx>
            <c:strRef>
              <c:f>'EV Analysis Per Mile Compared'!$I$14</c:f>
              <c:strCache>
                <c:ptCount val="1"/>
                <c:pt idx="0">
                  <c:v>Fisker Nina (PHEV)</c:v>
                </c:pt>
              </c:strCache>
            </c:strRef>
          </c:tx>
          <c:spPr>
            <a:ln cmpd="sng">
              <a:solidFill>
                <a:srgbClr val="00B050"/>
              </a:solidFill>
              <a:prstDash val="sysDash"/>
            </a:ln>
          </c:spPr>
          <c:marker>
            <c:symbol val="none"/>
          </c:marker>
          <c:val>
            <c:numRef>
              <c:f>'EV Analysis Per Mile Compared'!$T$29:$T$39</c:f>
              <c:numCache>
                <c:formatCode>"$"#,##0</c:formatCode>
                <c:ptCount val="11"/>
                <c:pt idx="0">
                  <c:v>48000.0</c:v>
                </c:pt>
                <c:pt idx="1">
                  <c:v>49861.22</c:v>
                </c:pt>
                <c:pt idx="2">
                  <c:v>51722.44</c:v>
                </c:pt>
                <c:pt idx="3">
                  <c:v>53583.66</c:v>
                </c:pt>
                <c:pt idx="4">
                  <c:v>55444.88</c:v>
                </c:pt>
                <c:pt idx="5">
                  <c:v>57306.1</c:v>
                </c:pt>
                <c:pt idx="6">
                  <c:v>59167.32</c:v>
                </c:pt>
                <c:pt idx="7">
                  <c:v>61028.54</c:v>
                </c:pt>
                <c:pt idx="8">
                  <c:v>62889.76</c:v>
                </c:pt>
                <c:pt idx="9">
                  <c:v>64750.98</c:v>
                </c:pt>
                <c:pt idx="10">
                  <c:v>66612.2</c:v>
                </c:pt>
              </c:numCache>
            </c:numRef>
          </c:val>
          <c:smooth val="0"/>
        </c:ser>
        <c:dLbls>
          <c:showLegendKey val="0"/>
          <c:showVal val="0"/>
          <c:showCatName val="0"/>
          <c:showSerName val="0"/>
          <c:showPercent val="0"/>
          <c:showBubbleSize val="0"/>
        </c:dLbls>
        <c:marker val="1"/>
        <c:smooth val="0"/>
        <c:axId val="2101078856"/>
        <c:axId val="2099459608"/>
      </c:lineChart>
      <c:catAx>
        <c:axId val="2101078856"/>
        <c:scaling>
          <c:orientation val="minMax"/>
        </c:scaling>
        <c:delete val="0"/>
        <c:axPos val="b"/>
        <c:majorGridlines/>
        <c:title>
          <c:tx>
            <c:rich>
              <a:bodyPr/>
              <a:lstStyle/>
              <a:p>
                <a:pPr>
                  <a:defRPr/>
                </a:pPr>
                <a:r>
                  <a:rPr lang="en-US" altLang="en-US"/>
                  <a:t>Miles Driven</a:t>
                </a:r>
              </a:p>
            </c:rich>
          </c:tx>
          <c:layout>
            <c:manualLayout>
              <c:xMode val="edge"/>
              <c:yMode val="edge"/>
              <c:x val="0.499524033702412"/>
              <c:y val="0.857182739071994"/>
            </c:manualLayout>
          </c:layout>
          <c:overlay val="0"/>
        </c:title>
        <c:numFmt formatCode="General" sourceLinked="1"/>
        <c:majorTickMark val="out"/>
        <c:minorTickMark val="none"/>
        <c:tickLblPos val="nextTo"/>
        <c:crossAx val="2099459608"/>
        <c:crosses val="autoZero"/>
        <c:auto val="1"/>
        <c:lblAlgn val="ctr"/>
        <c:lblOffset val="100"/>
        <c:noMultiLvlLbl val="0"/>
      </c:catAx>
      <c:valAx>
        <c:axId val="2099459608"/>
        <c:scaling>
          <c:orientation val="minMax"/>
        </c:scaling>
        <c:delete val="0"/>
        <c:axPos val="l"/>
        <c:majorGridlines/>
        <c:title>
          <c:tx>
            <c:rich>
              <a:bodyPr rot="-5400000" vert="horz"/>
              <a:lstStyle/>
              <a:p>
                <a:pPr>
                  <a:defRPr/>
                </a:pPr>
                <a:r>
                  <a:rPr lang="en-US" altLang="en-US"/>
                  <a:t>Base Price + Operating Costs/Mile</a:t>
                </a:r>
              </a:p>
            </c:rich>
          </c:tx>
          <c:layout/>
          <c:overlay val="0"/>
        </c:title>
        <c:numFmt formatCode="&quot;$&quot;#,##0" sourceLinked="1"/>
        <c:majorTickMark val="out"/>
        <c:minorTickMark val="none"/>
        <c:tickLblPos val="nextTo"/>
        <c:crossAx val="2101078856"/>
        <c:crosses val="autoZero"/>
        <c:crossBetween val="between"/>
      </c:valAx>
    </c:plotArea>
    <c:legend>
      <c:legendPos val="r"/>
      <c:layout>
        <c:manualLayout>
          <c:xMode val="edge"/>
          <c:yMode val="edge"/>
          <c:x val="0.110842268968454"/>
          <c:y val="0.858752284397407"/>
          <c:w val="0.85671337949553"/>
          <c:h val="0.134785680061398"/>
        </c:manualLayout>
      </c:layout>
      <c:overlay val="0"/>
    </c:legend>
    <c:plotVisOnly val="1"/>
    <c:dispBlanksAs val="gap"/>
    <c:showDLblsOverMax val="0"/>
  </c:chart>
  <c:printSettings>
    <c:headerFooter/>
    <c:pageMargins b="0.750000000000004" l="0.700000000000001" r="0.700000000000001" t="0.750000000000004"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t>South Korea's Vehicle Electrification: </a:t>
            </a:r>
            <a:r>
              <a:rPr lang="en-US" sz="1800" b="1" i="0" baseline="0"/>
              <a:t>Mid-Range EV &amp; PHEV Costs Compared to ICE </a:t>
            </a:r>
          </a:p>
          <a:p>
            <a:pPr>
              <a:defRPr/>
            </a:pPr>
            <a:r>
              <a:rPr lang="en-US" sz="1800" b="1" i="0" baseline="0"/>
              <a:t> Kevin P. Kane, Investments &amp; Energy Markets </a:t>
            </a:r>
          </a:p>
        </c:rich>
      </c:tx>
      <c:layout>
        <c:manualLayout>
          <c:xMode val="edge"/>
          <c:yMode val="edge"/>
          <c:x val="0.216935831342646"/>
          <c:y val="0.0138983826759728"/>
        </c:manualLayout>
      </c:layout>
      <c:overlay val="0"/>
    </c:title>
    <c:autoTitleDeleted val="0"/>
    <c:plotArea>
      <c:layout>
        <c:manualLayout>
          <c:layoutTarget val="inner"/>
          <c:xMode val="edge"/>
          <c:yMode val="edge"/>
          <c:x val="0.0813154613413199"/>
          <c:y val="0.108462666572397"/>
          <c:w val="0.874650570024417"/>
          <c:h val="0.666517058017759"/>
        </c:manualLayout>
      </c:layout>
      <c:lineChart>
        <c:grouping val="standard"/>
        <c:varyColors val="0"/>
        <c:ser>
          <c:idx val="0"/>
          <c:order val="0"/>
          <c:tx>
            <c:strRef>
              <c:f>'EV Analysis Per Mile Compared'!$L$96</c:f>
              <c:strCache>
                <c:ptCount val="1"/>
                <c:pt idx="0">
                  <c:v>Hyundai Azera</c:v>
                </c:pt>
              </c:strCache>
            </c:strRef>
          </c:tx>
          <c:marker>
            <c:symbol val="none"/>
          </c:marker>
          <c:cat>
            <c:numRef>
              <c:f>'EV Analysis Per Mile Compared'!$K$102:$K$112</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Compared'!$L$102:$L$112</c:f>
              <c:numCache>
                <c:formatCode>"$"#,##0</c:formatCode>
                <c:ptCount val="11"/>
                <c:pt idx="0">
                  <c:v>30095.0</c:v>
                </c:pt>
                <c:pt idx="1">
                  <c:v>33116.72727272727</c:v>
                </c:pt>
                <c:pt idx="2">
                  <c:v>36138.45454545454</c:v>
                </c:pt>
                <c:pt idx="3">
                  <c:v>39160.18181818182</c:v>
                </c:pt>
                <c:pt idx="4">
                  <c:v>42181.90909090909</c:v>
                </c:pt>
                <c:pt idx="5">
                  <c:v>45203.63636363636</c:v>
                </c:pt>
                <c:pt idx="6">
                  <c:v>48225.36363636363</c:v>
                </c:pt>
                <c:pt idx="7">
                  <c:v>51247.09090909091</c:v>
                </c:pt>
                <c:pt idx="8">
                  <c:v>54268.81818181817</c:v>
                </c:pt>
                <c:pt idx="9">
                  <c:v>57290.54545454546</c:v>
                </c:pt>
                <c:pt idx="10">
                  <c:v>60312.27272727272</c:v>
                </c:pt>
              </c:numCache>
            </c:numRef>
          </c:val>
          <c:smooth val="0"/>
        </c:ser>
        <c:ser>
          <c:idx val="1"/>
          <c:order val="1"/>
          <c:tx>
            <c:strRef>
              <c:f>'EV Analysis Per Mile Compared'!$M$96</c:f>
              <c:strCache>
                <c:ptCount val="1"/>
                <c:pt idx="0">
                  <c:v>Audi A4</c:v>
                </c:pt>
              </c:strCache>
            </c:strRef>
          </c:tx>
          <c:spPr>
            <a:ln w="22225">
              <a:solidFill>
                <a:srgbClr val="FF0000"/>
              </a:solidFill>
            </a:ln>
          </c:spPr>
          <c:marker>
            <c:symbol val="none"/>
          </c:marker>
          <c:val>
            <c:numRef>
              <c:f>'EV Analysis Per Mile Compared'!$M$102:$M$112</c:f>
              <c:numCache>
                <c:formatCode>"$"#,##0</c:formatCode>
                <c:ptCount val="11"/>
                <c:pt idx="0">
                  <c:v>31450.0</c:v>
                </c:pt>
                <c:pt idx="1">
                  <c:v>34366.39130434782</c:v>
                </c:pt>
                <c:pt idx="2">
                  <c:v>37282.78260869565</c:v>
                </c:pt>
                <c:pt idx="3">
                  <c:v>40199.17391304347</c:v>
                </c:pt>
                <c:pt idx="4">
                  <c:v>43115.5652173913</c:v>
                </c:pt>
                <c:pt idx="5">
                  <c:v>46031.95652173912</c:v>
                </c:pt>
                <c:pt idx="6">
                  <c:v>48948.34782608695</c:v>
                </c:pt>
                <c:pt idx="7">
                  <c:v>51864.73913043478</c:v>
                </c:pt>
                <c:pt idx="8">
                  <c:v>54781.13043478261</c:v>
                </c:pt>
                <c:pt idx="9">
                  <c:v>57697.52173913043</c:v>
                </c:pt>
                <c:pt idx="10">
                  <c:v>60613.91304347825</c:v>
                </c:pt>
              </c:numCache>
            </c:numRef>
          </c:val>
          <c:smooth val="0"/>
        </c:ser>
        <c:ser>
          <c:idx val="2"/>
          <c:order val="2"/>
          <c:tx>
            <c:strRef>
              <c:f>'EV Analysis Per Mile Compared'!$N$96</c:f>
              <c:strCache>
                <c:ptCount val="1"/>
                <c:pt idx="0">
                  <c:v>Mercedes C300</c:v>
                </c:pt>
              </c:strCache>
            </c:strRef>
          </c:tx>
          <c:spPr>
            <a:ln>
              <a:solidFill>
                <a:schemeClr val="accent6">
                  <a:lumMod val="75000"/>
                </a:schemeClr>
              </a:solidFill>
            </a:ln>
          </c:spPr>
          <c:marker>
            <c:symbol val="none"/>
          </c:marker>
          <c:val>
            <c:numRef>
              <c:f>'EV Analysis Per Mile Compared'!$N$102:$N$112</c:f>
              <c:numCache>
                <c:formatCode>"$"#,##0</c:formatCode>
                <c:ptCount val="11"/>
                <c:pt idx="0">
                  <c:v>33600.0</c:v>
                </c:pt>
                <c:pt idx="1">
                  <c:v>37160.11111111111</c:v>
                </c:pt>
                <c:pt idx="2">
                  <c:v>40720.22222222222</c:v>
                </c:pt>
                <c:pt idx="3">
                  <c:v>44280.33333333334</c:v>
                </c:pt>
                <c:pt idx="4">
                  <c:v>47840.44444444444</c:v>
                </c:pt>
                <c:pt idx="5">
                  <c:v>51400.55555555555</c:v>
                </c:pt>
                <c:pt idx="6">
                  <c:v>54960.66666666667</c:v>
                </c:pt>
                <c:pt idx="7">
                  <c:v>58520.77777777778</c:v>
                </c:pt>
                <c:pt idx="8">
                  <c:v>62080.8888888889</c:v>
                </c:pt>
                <c:pt idx="9">
                  <c:v>65641.0</c:v>
                </c:pt>
                <c:pt idx="10">
                  <c:v>69201.1111111111</c:v>
                </c:pt>
              </c:numCache>
            </c:numRef>
          </c:val>
          <c:smooth val="0"/>
        </c:ser>
        <c:ser>
          <c:idx val="3"/>
          <c:order val="3"/>
          <c:tx>
            <c:strRef>
              <c:f>'EV Analysis Per Mile Compared'!$O$96</c:f>
              <c:strCache>
                <c:ptCount val="1"/>
                <c:pt idx="0">
                  <c:v>BMW 328i</c:v>
                </c:pt>
              </c:strCache>
            </c:strRef>
          </c:tx>
          <c:marker>
            <c:symbol val="none"/>
          </c:marker>
          <c:val>
            <c:numRef>
              <c:f>'EV Analysis Per Mile Compared'!$O$102:$O$112</c:f>
              <c:numCache>
                <c:formatCode>"$"#,##0</c:formatCode>
                <c:ptCount val="11"/>
                <c:pt idx="0">
                  <c:v>33150.0</c:v>
                </c:pt>
                <c:pt idx="1">
                  <c:v>36171.72727272727</c:v>
                </c:pt>
                <c:pt idx="2">
                  <c:v>39193.45454545454</c:v>
                </c:pt>
                <c:pt idx="3">
                  <c:v>42215.18181818182</c:v>
                </c:pt>
                <c:pt idx="4">
                  <c:v>45236.90909090909</c:v>
                </c:pt>
                <c:pt idx="5">
                  <c:v>48258.63636363636</c:v>
                </c:pt>
                <c:pt idx="6">
                  <c:v>51280.36363636363</c:v>
                </c:pt>
                <c:pt idx="7">
                  <c:v>54302.09090909091</c:v>
                </c:pt>
                <c:pt idx="8">
                  <c:v>57323.81818181817</c:v>
                </c:pt>
                <c:pt idx="9">
                  <c:v>60345.54545454546</c:v>
                </c:pt>
                <c:pt idx="10">
                  <c:v>63367.27272727272</c:v>
                </c:pt>
              </c:numCache>
            </c:numRef>
          </c:val>
          <c:smooth val="0"/>
        </c:ser>
        <c:ser>
          <c:idx val="4"/>
          <c:order val="4"/>
          <c:tx>
            <c:strRef>
              <c:f>'EV Analysis Per Mile Compared'!$P$96</c:f>
              <c:strCache>
                <c:ptCount val="1"/>
                <c:pt idx="0">
                  <c:v>Toyota Prius V Generation</c:v>
                </c:pt>
              </c:strCache>
            </c:strRef>
          </c:tx>
          <c:spPr>
            <a:ln>
              <a:solidFill>
                <a:srgbClr val="0070C0"/>
              </a:solidFill>
            </a:ln>
          </c:spPr>
          <c:marker>
            <c:symbol val="none"/>
          </c:marker>
          <c:val>
            <c:numRef>
              <c:f>'EV Analysis Per Mile Compared'!$P$102:$P$112</c:f>
              <c:numCache>
                <c:formatCode>"$"#,##0</c:formatCode>
                <c:ptCount val="11"/>
                <c:pt idx="0" formatCode="&quot;$&quot;#,##0_);[Red]\(&quot;$&quot;#,##0\)">
                  <c:v>28070.0</c:v>
                </c:pt>
                <c:pt idx="1">
                  <c:v>29735.0</c:v>
                </c:pt>
                <c:pt idx="2">
                  <c:v>31400.0</c:v>
                </c:pt>
                <c:pt idx="3">
                  <c:v>33065.0</c:v>
                </c:pt>
                <c:pt idx="4">
                  <c:v>34730.0</c:v>
                </c:pt>
                <c:pt idx="5">
                  <c:v>36395.0</c:v>
                </c:pt>
                <c:pt idx="6">
                  <c:v>38060.0</c:v>
                </c:pt>
                <c:pt idx="7">
                  <c:v>39725.0</c:v>
                </c:pt>
                <c:pt idx="8">
                  <c:v>41390.0</c:v>
                </c:pt>
                <c:pt idx="9">
                  <c:v>43055.0</c:v>
                </c:pt>
                <c:pt idx="10">
                  <c:v>44720.0</c:v>
                </c:pt>
              </c:numCache>
            </c:numRef>
          </c:val>
          <c:smooth val="0"/>
        </c:ser>
        <c:ser>
          <c:idx val="5"/>
          <c:order val="5"/>
          <c:tx>
            <c:strRef>
              <c:f>'EV Analysis Per Mile Compared'!$T$23</c:f>
              <c:strCache>
                <c:ptCount val="1"/>
                <c:pt idx="0">
                  <c:v>Fisker Nina_x000d_(22 kWh Battery)</c:v>
                </c:pt>
              </c:strCache>
            </c:strRef>
          </c:tx>
          <c:spPr>
            <a:ln w="38100">
              <a:solidFill>
                <a:srgbClr val="00B050"/>
              </a:solidFill>
            </a:ln>
          </c:spPr>
          <c:marker>
            <c:symbol val="none"/>
          </c:marker>
          <c:val>
            <c:numRef>
              <c:f>'EV Analysis Per Mile Compared'!$T$29:$T$39</c:f>
              <c:numCache>
                <c:formatCode>"$"#,##0</c:formatCode>
                <c:ptCount val="11"/>
                <c:pt idx="0">
                  <c:v>48000.0</c:v>
                </c:pt>
                <c:pt idx="1">
                  <c:v>49861.22</c:v>
                </c:pt>
                <c:pt idx="2">
                  <c:v>51722.44</c:v>
                </c:pt>
                <c:pt idx="3">
                  <c:v>53583.66</c:v>
                </c:pt>
                <c:pt idx="4">
                  <c:v>55444.88</c:v>
                </c:pt>
                <c:pt idx="5">
                  <c:v>57306.1</c:v>
                </c:pt>
                <c:pt idx="6">
                  <c:v>59167.32</c:v>
                </c:pt>
                <c:pt idx="7">
                  <c:v>61028.54</c:v>
                </c:pt>
                <c:pt idx="8">
                  <c:v>62889.76</c:v>
                </c:pt>
                <c:pt idx="9">
                  <c:v>64750.98</c:v>
                </c:pt>
                <c:pt idx="10">
                  <c:v>66612.2</c:v>
                </c:pt>
              </c:numCache>
            </c:numRef>
          </c:val>
          <c:smooth val="0"/>
        </c:ser>
        <c:ser>
          <c:idx val="6"/>
          <c:order val="6"/>
          <c:tx>
            <c:strRef>
              <c:f>'EV Analysis Per Mile Compared'!$R$96</c:f>
              <c:strCache>
                <c:ptCount val="1"/>
                <c:pt idx="0">
                  <c:v>Tesla Blue Star_x000d_(42 kWh Battery) </c:v>
                </c:pt>
              </c:strCache>
            </c:strRef>
          </c:tx>
          <c:spPr>
            <a:ln>
              <a:solidFill>
                <a:prstClr val="black"/>
              </a:solidFill>
              <a:prstDash val="lgDashDot"/>
            </a:ln>
          </c:spPr>
          <c:marker>
            <c:symbol val="none"/>
          </c:marker>
          <c:val>
            <c:numRef>
              <c:f>'EV Analysis Per Mile Compared'!$R$102:$R$112</c:f>
              <c:numCache>
                <c:formatCode>"$"#,##0</c:formatCode>
                <c:ptCount val="11"/>
                <c:pt idx="0">
                  <c:v>30000.0</c:v>
                </c:pt>
                <c:pt idx="1">
                  <c:v>32240.25</c:v>
                </c:pt>
                <c:pt idx="2">
                  <c:v>34480.5</c:v>
                </c:pt>
                <c:pt idx="3">
                  <c:v>36720.75</c:v>
                </c:pt>
                <c:pt idx="4">
                  <c:v>38961.0</c:v>
                </c:pt>
                <c:pt idx="5">
                  <c:v>41201.25</c:v>
                </c:pt>
                <c:pt idx="6">
                  <c:v>43441.5</c:v>
                </c:pt>
                <c:pt idx="7">
                  <c:v>45681.75</c:v>
                </c:pt>
                <c:pt idx="8">
                  <c:v>47922.0</c:v>
                </c:pt>
                <c:pt idx="9">
                  <c:v>50162.25</c:v>
                </c:pt>
                <c:pt idx="10">
                  <c:v>52402.5</c:v>
                </c:pt>
              </c:numCache>
            </c:numRef>
          </c:val>
          <c:smooth val="0"/>
        </c:ser>
        <c:ser>
          <c:idx val="7"/>
          <c:order val="7"/>
          <c:tx>
            <c:strRef>
              <c:f>'EV Analysis Per Mile Compared'!$T$96</c:f>
              <c:strCache>
                <c:ptCount val="1"/>
                <c:pt idx="0">
                  <c:v>Tesla Blue Star_x000d_(70 kWh Battery)</c:v>
                </c:pt>
              </c:strCache>
            </c:strRef>
          </c:tx>
          <c:spPr>
            <a:ln>
              <a:solidFill>
                <a:prstClr val="black"/>
              </a:solidFill>
              <a:prstDash val="sysDash"/>
            </a:ln>
          </c:spPr>
          <c:marker>
            <c:symbol val="none"/>
          </c:marker>
          <c:val>
            <c:numRef>
              <c:f>'EV Analysis Per Mile Compared'!$T$102:$T$112</c:f>
              <c:numCache>
                <c:formatCode>"$"#,##0</c:formatCode>
                <c:ptCount val="11"/>
                <c:pt idx="0">
                  <c:v>39800.0</c:v>
                </c:pt>
                <c:pt idx="1">
                  <c:v>43020.25</c:v>
                </c:pt>
                <c:pt idx="2">
                  <c:v>46240.5</c:v>
                </c:pt>
                <c:pt idx="3">
                  <c:v>49460.75</c:v>
                </c:pt>
                <c:pt idx="4">
                  <c:v>52681.0</c:v>
                </c:pt>
                <c:pt idx="5">
                  <c:v>55901.25</c:v>
                </c:pt>
                <c:pt idx="6">
                  <c:v>59121.5</c:v>
                </c:pt>
                <c:pt idx="7">
                  <c:v>62341.75</c:v>
                </c:pt>
                <c:pt idx="8">
                  <c:v>65562.0</c:v>
                </c:pt>
                <c:pt idx="9">
                  <c:v>68782.25</c:v>
                </c:pt>
                <c:pt idx="10">
                  <c:v>72002.5</c:v>
                </c:pt>
              </c:numCache>
            </c:numRef>
          </c:val>
          <c:smooth val="0"/>
        </c:ser>
        <c:ser>
          <c:idx val="8"/>
          <c:order val="8"/>
          <c:tx>
            <c:strRef>
              <c:f>'EV Analysis Per Mile Compared'!$U$96</c:f>
              <c:strCache>
                <c:ptCount val="1"/>
                <c:pt idx="0">
                  <c:v>Tesla Blue Star_x000d_(95 kWh Battery)</c:v>
                </c:pt>
              </c:strCache>
            </c:strRef>
          </c:tx>
          <c:spPr>
            <a:ln>
              <a:solidFill>
                <a:schemeClr val="tx1"/>
              </a:solidFill>
            </a:ln>
          </c:spPr>
          <c:marker>
            <c:symbol val="none"/>
          </c:marker>
          <c:val>
            <c:numRef>
              <c:f>'EV Analysis Per Mile Compared'!$U$102:$U$112</c:f>
              <c:numCache>
                <c:formatCode>"$"#,##0</c:formatCode>
                <c:ptCount val="11"/>
                <c:pt idx="0">
                  <c:v>48550.0</c:v>
                </c:pt>
                <c:pt idx="1">
                  <c:v>52645.25</c:v>
                </c:pt>
                <c:pt idx="2">
                  <c:v>56740.5</c:v>
                </c:pt>
                <c:pt idx="3">
                  <c:v>60835.75</c:v>
                </c:pt>
                <c:pt idx="4">
                  <c:v>64931.0</c:v>
                </c:pt>
                <c:pt idx="5">
                  <c:v>69026.25</c:v>
                </c:pt>
                <c:pt idx="6">
                  <c:v>73121.5</c:v>
                </c:pt>
                <c:pt idx="7">
                  <c:v>77216.75</c:v>
                </c:pt>
                <c:pt idx="8">
                  <c:v>81312.0</c:v>
                </c:pt>
                <c:pt idx="9">
                  <c:v>85407.25</c:v>
                </c:pt>
                <c:pt idx="10">
                  <c:v>89502.5</c:v>
                </c:pt>
              </c:numCache>
            </c:numRef>
          </c:val>
          <c:smooth val="0"/>
        </c:ser>
        <c:dLbls>
          <c:showLegendKey val="0"/>
          <c:showVal val="0"/>
          <c:showCatName val="0"/>
          <c:showSerName val="0"/>
          <c:showPercent val="0"/>
          <c:showBubbleSize val="0"/>
        </c:dLbls>
        <c:marker val="1"/>
        <c:smooth val="0"/>
        <c:axId val="2093505736"/>
        <c:axId val="2093176520"/>
      </c:lineChart>
      <c:catAx>
        <c:axId val="2093505736"/>
        <c:scaling>
          <c:orientation val="minMax"/>
        </c:scaling>
        <c:delete val="0"/>
        <c:axPos val="b"/>
        <c:title>
          <c:tx>
            <c:rich>
              <a:bodyPr/>
              <a:lstStyle/>
              <a:p>
                <a:pPr>
                  <a:defRPr/>
                </a:pPr>
                <a:r>
                  <a:rPr lang="en-US" altLang="en-US"/>
                  <a:t>Miles Driven</a:t>
                </a:r>
              </a:p>
            </c:rich>
          </c:tx>
          <c:overlay val="0"/>
        </c:title>
        <c:numFmt formatCode="General" sourceLinked="1"/>
        <c:majorTickMark val="out"/>
        <c:minorTickMark val="none"/>
        <c:tickLblPos val="nextTo"/>
        <c:crossAx val="2093176520"/>
        <c:crosses val="autoZero"/>
        <c:auto val="1"/>
        <c:lblAlgn val="ctr"/>
        <c:lblOffset val="100"/>
        <c:noMultiLvlLbl val="0"/>
      </c:catAx>
      <c:valAx>
        <c:axId val="2093176520"/>
        <c:scaling>
          <c:orientation val="minMax"/>
        </c:scaling>
        <c:delete val="0"/>
        <c:axPos val="l"/>
        <c:majorGridlines/>
        <c:title>
          <c:tx>
            <c:rich>
              <a:bodyPr rot="-5400000" vert="horz"/>
              <a:lstStyle/>
              <a:p>
                <a:pPr>
                  <a:defRPr/>
                </a:pPr>
                <a:r>
                  <a:rPr lang="en-US" altLang="en-US"/>
                  <a:t>Base Price + Operating Costs/Mile</a:t>
                </a:r>
              </a:p>
            </c:rich>
          </c:tx>
          <c:layout>
            <c:manualLayout>
              <c:xMode val="edge"/>
              <c:yMode val="edge"/>
              <c:x val="0.0100083082959688"/>
              <c:y val="0.309011187360152"/>
            </c:manualLayout>
          </c:layout>
          <c:overlay val="0"/>
        </c:title>
        <c:numFmt formatCode="&quot;$&quot;#,##0" sourceLinked="1"/>
        <c:majorTickMark val="out"/>
        <c:minorTickMark val="none"/>
        <c:tickLblPos val="nextTo"/>
        <c:crossAx val="2093505736"/>
        <c:crosses val="autoZero"/>
        <c:crossBetween val="between"/>
      </c:valAx>
    </c:plotArea>
    <c:legend>
      <c:legendPos val="r"/>
      <c:layout>
        <c:manualLayout>
          <c:xMode val="edge"/>
          <c:yMode val="edge"/>
          <c:x val="0.0277835567619692"/>
          <c:y val="0.858921178667102"/>
          <c:w val="0.880966878627892"/>
          <c:h val="0.0793227264117761"/>
        </c:manualLayout>
      </c:layout>
      <c:overlay val="0"/>
    </c:legend>
    <c:plotVisOnly val="1"/>
    <c:dispBlanksAs val="gap"/>
    <c:showDLblsOverMax val="0"/>
  </c:chart>
  <c:printSettings>
    <c:headerFooter/>
    <c:pageMargins b="0.750000000000004" l="0.700000000000001" r="0.700000000000001" t="0.750000000000004"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629756063100808"/>
          <c:y val="0.0310342968135273"/>
          <c:w val="0.913880129287018"/>
          <c:h val="0.681816542846298"/>
        </c:manualLayout>
      </c:layout>
      <c:lineChart>
        <c:grouping val="standard"/>
        <c:varyColors val="0"/>
        <c:ser>
          <c:idx val="0"/>
          <c:order val="0"/>
          <c:tx>
            <c:strRef>
              <c:f>'EV Analysis Per Mile Compared'!$L$175</c:f>
              <c:strCache>
                <c:ptCount val="1"/>
                <c:pt idx="0">
                  <c:v>Hyundai Azera</c:v>
                </c:pt>
              </c:strCache>
            </c:strRef>
          </c:tx>
          <c:spPr>
            <a:ln>
              <a:solidFill>
                <a:srgbClr val="FF0000"/>
              </a:solidFill>
            </a:ln>
          </c:spPr>
          <c:marker>
            <c:symbol val="circle"/>
            <c:size val="7"/>
            <c:spPr>
              <a:solidFill>
                <a:srgbClr val="FF0000"/>
              </a:solidFill>
            </c:spPr>
          </c:marker>
          <c:val>
            <c:numRef>
              <c:f>'EV Analysis Per Mile Compared'!$L$176:$L$186</c:f>
              <c:numCache>
                <c:formatCode>General</c:formatCode>
                <c:ptCount val="11"/>
                <c:pt idx="0">
                  <c:v>30095.0</c:v>
                </c:pt>
                <c:pt idx="1">
                  <c:v>33116.72727272727</c:v>
                </c:pt>
                <c:pt idx="2">
                  <c:v>36138.45454545454</c:v>
                </c:pt>
                <c:pt idx="3">
                  <c:v>39160.18181818182</c:v>
                </c:pt>
                <c:pt idx="4">
                  <c:v>42181.90909090909</c:v>
                </c:pt>
                <c:pt idx="5">
                  <c:v>45203.63636363636</c:v>
                </c:pt>
                <c:pt idx="6">
                  <c:v>48225.36363636363</c:v>
                </c:pt>
                <c:pt idx="7">
                  <c:v>51247.09090909091</c:v>
                </c:pt>
                <c:pt idx="8">
                  <c:v>54268.81818181817</c:v>
                </c:pt>
                <c:pt idx="9">
                  <c:v>57290.54545454546</c:v>
                </c:pt>
                <c:pt idx="10">
                  <c:v>60312.27272727272</c:v>
                </c:pt>
              </c:numCache>
            </c:numRef>
          </c:val>
          <c:smooth val="0"/>
        </c:ser>
        <c:ser>
          <c:idx val="1"/>
          <c:order val="1"/>
          <c:tx>
            <c:strRef>
              <c:f>'EV Analysis Per Mile Compared'!$M$175</c:f>
              <c:strCache>
                <c:ptCount val="1"/>
                <c:pt idx="0">
                  <c:v>Prius</c:v>
                </c:pt>
              </c:strCache>
            </c:strRef>
          </c:tx>
          <c:marker>
            <c:symbol val="none"/>
          </c:marker>
          <c:val>
            <c:numRef>
              <c:f>'EV Analysis Per Mile Compared'!$M$176:$M$186</c:f>
              <c:numCache>
                <c:formatCode>General</c:formatCode>
                <c:ptCount val="11"/>
                <c:pt idx="0">
                  <c:v>28070.0</c:v>
                </c:pt>
                <c:pt idx="1">
                  <c:v>29735.0</c:v>
                </c:pt>
                <c:pt idx="2">
                  <c:v>31400.0</c:v>
                </c:pt>
                <c:pt idx="3">
                  <c:v>33065.0</c:v>
                </c:pt>
                <c:pt idx="4">
                  <c:v>34730.0</c:v>
                </c:pt>
                <c:pt idx="5">
                  <c:v>36395.0</c:v>
                </c:pt>
                <c:pt idx="6">
                  <c:v>38060.0</c:v>
                </c:pt>
                <c:pt idx="7">
                  <c:v>39725.0</c:v>
                </c:pt>
                <c:pt idx="8">
                  <c:v>41390.0</c:v>
                </c:pt>
                <c:pt idx="9">
                  <c:v>43055.0</c:v>
                </c:pt>
                <c:pt idx="10">
                  <c:v>44720.0</c:v>
                </c:pt>
              </c:numCache>
            </c:numRef>
          </c:val>
          <c:smooth val="0"/>
        </c:ser>
        <c:ser>
          <c:idx val="2"/>
          <c:order val="2"/>
          <c:tx>
            <c:strRef>
              <c:f>'EV Analysis Per Mile Compared'!$N$175</c:f>
              <c:strCache>
                <c:ptCount val="1"/>
                <c:pt idx="0">
                  <c:v>_x000d_(95 kWh Battery) _x000d_($350 Kwh)</c:v>
                </c:pt>
              </c:strCache>
            </c:strRef>
          </c:tx>
          <c:marker>
            <c:symbol val="none"/>
          </c:marker>
          <c:val>
            <c:numRef>
              <c:f>'EV Analysis Per Mile Compared'!$N$176:$N$186</c:f>
              <c:numCache>
                <c:formatCode>General</c:formatCode>
                <c:ptCount val="11"/>
                <c:pt idx="0">
                  <c:v>30000.0</c:v>
                </c:pt>
                <c:pt idx="1">
                  <c:v>34095.25</c:v>
                </c:pt>
                <c:pt idx="2">
                  <c:v>38190.5</c:v>
                </c:pt>
                <c:pt idx="3">
                  <c:v>42285.75</c:v>
                </c:pt>
                <c:pt idx="4">
                  <c:v>46381.0</c:v>
                </c:pt>
                <c:pt idx="5">
                  <c:v>50476.25</c:v>
                </c:pt>
                <c:pt idx="6">
                  <c:v>54571.5</c:v>
                </c:pt>
                <c:pt idx="7">
                  <c:v>58666.75</c:v>
                </c:pt>
                <c:pt idx="8">
                  <c:v>62762.0</c:v>
                </c:pt>
                <c:pt idx="9">
                  <c:v>66857.25</c:v>
                </c:pt>
                <c:pt idx="10">
                  <c:v>70952.5</c:v>
                </c:pt>
              </c:numCache>
            </c:numRef>
          </c:val>
          <c:smooth val="0"/>
        </c:ser>
        <c:ser>
          <c:idx val="3"/>
          <c:order val="3"/>
          <c:tx>
            <c:strRef>
              <c:f>'EV Analysis Per Mile Compared'!$O$175</c:f>
              <c:strCache>
                <c:ptCount val="1"/>
                <c:pt idx="0">
                  <c:v>(95 kWh Battery) _x000d_($325 Kwh)</c:v>
                </c:pt>
              </c:strCache>
            </c:strRef>
          </c:tx>
          <c:marker>
            <c:symbol val="none"/>
          </c:marker>
          <c:val>
            <c:numRef>
              <c:f>'EV Analysis Per Mile Compared'!$O$176:$O$186</c:f>
              <c:numCache>
                <c:formatCode>General</c:formatCode>
                <c:ptCount val="11"/>
                <c:pt idx="0">
                  <c:v>30000.0</c:v>
                </c:pt>
                <c:pt idx="1">
                  <c:v>33857.75</c:v>
                </c:pt>
                <c:pt idx="2">
                  <c:v>37715.5</c:v>
                </c:pt>
                <c:pt idx="3">
                  <c:v>41573.25</c:v>
                </c:pt>
                <c:pt idx="4">
                  <c:v>45431.0</c:v>
                </c:pt>
                <c:pt idx="5">
                  <c:v>49288.75</c:v>
                </c:pt>
                <c:pt idx="6">
                  <c:v>53146.5</c:v>
                </c:pt>
                <c:pt idx="7">
                  <c:v>57004.25</c:v>
                </c:pt>
                <c:pt idx="8">
                  <c:v>60862.0</c:v>
                </c:pt>
                <c:pt idx="9">
                  <c:v>64719.75</c:v>
                </c:pt>
                <c:pt idx="10">
                  <c:v>68577.5</c:v>
                </c:pt>
              </c:numCache>
            </c:numRef>
          </c:val>
          <c:smooth val="0"/>
        </c:ser>
        <c:ser>
          <c:idx val="4"/>
          <c:order val="4"/>
          <c:tx>
            <c:strRef>
              <c:f>'EV Analysis Per Mile Compared'!$P$175</c:f>
              <c:strCache>
                <c:ptCount val="1"/>
                <c:pt idx="0">
                  <c:v>(95 kWh Battery)_x000d_ ($300 Kwh)</c:v>
                </c:pt>
              </c:strCache>
            </c:strRef>
          </c:tx>
          <c:marker>
            <c:symbol val="none"/>
          </c:marker>
          <c:val>
            <c:numRef>
              <c:f>'EV Analysis Per Mile Compared'!$P$176:$P$186</c:f>
              <c:numCache>
                <c:formatCode>General</c:formatCode>
                <c:ptCount val="11"/>
                <c:pt idx="0">
                  <c:v>30000.0</c:v>
                </c:pt>
                <c:pt idx="1">
                  <c:v>33620.25</c:v>
                </c:pt>
                <c:pt idx="2">
                  <c:v>37240.5</c:v>
                </c:pt>
                <c:pt idx="3">
                  <c:v>40860.75</c:v>
                </c:pt>
                <c:pt idx="4">
                  <c:v>44481.0</c:v>
                </c:pt>
                <c:pt idx="5">
                  <c:v>48101.25</c:v>
                </c:pt>
                <c:pt idx="6">
                  <c:v>51721.5</c:v>
                </c:pt>
                <c:pt idx="7">
                  <c:v>55341.75</c:v>
                </c:pt>
                <c:pt idx="8">
                  <c:v>58962</c:v>
                </c:pt>
                <c:pt idx="9">
                  <c:v>62582.25</c:v>
                </c:pt>
                <c:pt idx="10">
                  <c:v>66202.5</c:v>
                </c:pt>
              </c:numCache>
            </c:numRef>
          </c:val>
          <c:smooth val="0"/>
        </c:ser>
        <c:ser>
          <c:idx val="5"/>
          <c:order val="5"/>
          <c:tx>
            <c:strRef>
              <c:f>'EV Analysis Per Mile Compared'!$Q$175</c:f>
              <c:strCache>
                <c:ptCount val="1"/>
                <c:pt idx="0">
                  <c:v>(95 kWh Battery) _x000d_($275 Kwh)</c:v>
                </c:pt>
              </c:strCache>
            </c:strRef>
          </c:tx>
          <c:marker>
            <c:symbol val="none"/>
          </c:marker>
          <c:val>
            <c:numRef>
              <c:f>'EV Analysis Per Mile Compared'!$Q$176:$Q$186</c:f>
              <c:numCache>
                <c:formatCode>General</c:formatCode>
                <c:ptCount val="11"/>
                <c:pt idx="0">
                  <c:v>30000.0</c:v>
                </c:pt>
                <c:pt idx="1">
                  <c:v>33382.75</c:v>
                </c:pt>
                <c:pt idx="2">
                  <c:v>36765.5</c:v>
                </c:pt>
                <c:pt idx="3">
                  <c:v>40148.25</c:v>
                </c:pt>
                <c:pt idx="4">
                  <c:v>43531.0</c:v>
                </c:pt>
                <c:pt idx="5">
                  <c:v>46913.75</c:v>
                </c:pt>
                <c:pt idx="6">
                  <c:v>50296.5</c:v>
                </c:pt>
                <c:pt idx="7">
                  <c:v>53679.25</c:v>
                </c:pt>
                <c:pt idx="8">
                  <c:v>57062.0</c:v>
                </c:pt>
                <c:pt idx="9">
                  <c:v>60444.75</c:v>
                </c:pt>
                <c:pt idx="10">
                  <c:v>63827.5</c:v>
                </c:pt>
              </c:numCache>
            </c:numRef>
          </c:val>
          <c:smooth val="0"/>
        </c:ser>
        <c:ser>
          <c:idx val="6"/>
          <c:order val="6"/>
          <c:tx>
            <c:strRef>
              <c:f>'EV Analysis Per Mile Compared'!$R$175</c:f>
              <c:strCache>
                <c:ptCount val="1"/>
                <c:pt idx="0">
                  <c:v>(95 kWh Battery) _x000d_($250 Kwh)</c:v>
                </c:pt>
              </c:strCache>
            </c:strRef>
          </c:tx>
          <c:marker>
            <c:symbol val="none"/>
          </c:marker>
          <c:val>
            <c:numRef>
              <c:f>'EV Analysis Per Mile Compared'!$R$176:$R$186</c:f>
              <c:numCache>
                <c:formatCode>General</c:formatCode>
                <c:ptCount val="11"/>
                <c:pt idx="0">
                  <c:v>30000.0</c:v>
                </c:pt>
                <c:pt idx="1">
                  <c:v>33145.25</c:v>
                </c:pt>
                <c:pt idx="2">
                  <c:v>36290.5</c:v>
                </c:pt>
                <c:pt idx="3">
                  <c:v>39435.75</c:v>
                </c:pt>
                <c:pt idx="4">
                  <c:v>42581.0</c:v>
                </c:pt>
                <c:pt idx="5">
                  <c:v>45726.25</c:v>
                </c:pt>
                <c:pt idx="6">
                  <c:v>48871.5</c:v>
                </c:pt>
                <c:pt idx="7">
                  <c:v>52016.75</c:v>
                </c:pt>
                <c:pt idx="8">
                  <c:v>55162.0</c:v>
                </c:pt>
                <c:pt idx="9">
                  <c:v>58307.25</c:v>
                </c:pt>
                <c:pt idx="10">
                  <c:v>61452.5</c:v>
                </c:pt>
              </c:numCache>
            </c:numRef>
          </c:val>
          <c:smooth val="0"/>
        </c:ser>
        <c:ser>
          <c:idx val="7"/>
          <c:order val="7"/>
          <c:tx>
            <c:strRef>
              <c:f>'EV Analysis Per Mile Compared'!$S$175</c:f>
              <c:strCache>
                <c:ptCount val="1"/>
                <c:pt idx="0">
                  <c:v>_x000d_(95 kWh Battery) ($350 Kwh)</c:v>
                </c:pt>
              </c:strCache>
            </c:strRef>
          </c:tx>
          <c:marker>
            <c:symbol val="none"/>
          </c:marker>
          <c:val>
            <c:numRef>
              <c:f>'EV Analysis Per Mile Compared'!$S$176:$S$186</c:f>
            </c:numRef>
          </c:val>
          <c:smooth val="0"/>
        </c:ser>
        <c:ser>
          <c:idx val="8"/>
          <c:order val="8"/>
          <c:tx>
            <c:strRef>
              <c:f>'EV Analysis Per Mile Compared'!$T$175</c:f>
              <c:strCache>
                <c:ptCount val="1"/>
                <c:pt idx="0">
                  <c:v>(95 kWh Battery) _x000d_($225 Kwh)</c:v>
                </c:pt>
              </c:strCache>
            </c:strRef>
          </c:tx>
          <c:spPr>
            <a:ln>
              <a:solidFill>
                <a:schemeClr val="tx1"/>
              </a:solidFill>
              <a:prstDash val="sysDash"/>
            </a:ln>
          </c:spPr>
          <c:marker>
            <c:symbol val="none"/>
          </c:marker>
          <c:val>
            <c:numRef>
              <c:f>'EV Analysis Per Mile Compared'!$T$176:$T$186</c:f>
              <c:numCache>
                <c:formatCode>General</c:formatCode>
                <c:ptCount val="11"/>
                <c:pt idx="0">
                  <c:v>30000.0</c:v>
                </c:pt>
                <c:pt idx="1">
                  <c:v>32907.75</c:v>
                </c:pt>
                <c:pt idx="2">
                  <c:v>35815.5</c:v>
                </c:pt>
                <c:pt idx="3">
                  <c:v>38723.25</c:v>
                </c:pt>
                <c:pt idx="4">
                  <c:v>41631.0</c:v>
                </c:pt>
                <c:pt idx="5">
                  <c:v>44538.75</c:v>
                </c:pt>
                <c:pt idx="6">
                  <c:v>47446.5</c:v>
                </c:pt>
                <c:pt idx="7">
                  <c:v>50354.25</c:v>
                </c:pt>
                <c:pt idx="8">
                  <c:v>53262.0</c:v>
                </c:pt>
                <c:pt idx="9">
                  <c:v>56169.75</c:v>
                </c:pt>
                <c:pt idx="10">
                  <c:v>59077.5</c:v>
                </c:pt>
              </c:numCache>
            </c:numRef>
          </c:val>
          <c:smooth val="0"/>
        </c:ser>
        <c:ser>
          <c:idx val="9"/>
          <c:order val="9"/>
          <c:tx>
            <c:strRef>
              <c:f>'EV Analysis Per Mile Compared'!$U$175</c:f>
              <c:strCache>
                <c:ptCount val="1"/>
                <c:pt idx="0">
                  <c:v>(95 kWh Battery) ($200 Kwh)</c:v>
                </c:pt>
              </c:strCache>
            </c:strRef>
          </c:tx>
          <c:marker>
            <c:symbol val="none"/>
          </c:marker>
          <c:val>
            <c:numRef>
              <c:f>'EV Analysis Per Mile Compared'!$U$176:$U$186</c:f>
              <c:numCache>
                <c:formatCode>General</c:formatCode>
                <c:ptCount val="11"/>
                <c:pt idx="0">
                  <c:v>30000.0</c:v>
                </c:pt>
                <c:pt idx="1">
                  <c:v>32670.25</c:v>
                </c:pt>
                <c:pt idx="2">
                  <c:v>35340.5</c:v>
                </c:pt>
                <c:pt idx="3">
                  <c:v>38010.75</c:v>
                </c:pt>
                <c:pt idx="4">
                  <c:v>40681.0</c:v>
                </c:pt>
                <c:pt idx="5">
                  <c:v>43351.25</c:v>
                </c:pt>
                <c:pt idx="6">
                  <c:v>46021.5</c:v>
                </c:pt>
                <c:pt idx="7">
                  <c:v>48691.75</c:v>
                </c:pt>
                <c:pt idx="8">
                  <c:v>51362.0</c:v>
                </c:pt>
                <c:pt idx="9">
                  <c:v>54032.25</c:v>
                </c:pt>
                <c:pt idx="10">
                  <c:v>56702.5</c:v>
                </c:pt>
              </c:numCache>
            </c:numRef>
          </c:val>
          <c:smooth val="0"/>
        </c:ser>
        <c:ser>
          <c:idx val="10"/>
          <c:order val="10"/>
          <c:tx>
            <c:strRef>
              <c:f>'EV Analysis Per Mile Compared'!$V$175</c:f>
              <c:strCache>
                <c:ptCount val="1"/>
                <c:pt idx="0">
                  <c:v>(95 kWh Battery) ($175 Kwh)</c:v>
                </c:pt>
              </c:strCache>
            </c:strRef>
          </c:tx>
          <c:marker>
            <c:symbol val="none"/>
          </c:marker>
          <c:val>
            <c:numRef>
              <c:f>'EV Analysis Per Mile Compared'!$V$176:$V$186</c:f>
              <c:numCache>
                <c:formatCode>General</c:formatCode>
                <c:ptCount val="11"/>
                <c:pt idx="0">
                  <c:v>30000.0</c:v>
                </c:pt>
                <c:pt idx="1">
                  <c:v>32432.75</c:v>
                </c:pt>
                <c:pt idx="2">
                  <c:v>34865.5</c:v>
                </c:pt>
                <c:pt idx="3">
                  <c:v>37298.25</c:v>
                </c:pt>
                <c:pt idx="4">
                  <c:v>39731.0</c:v>
                </c:pt>
                <c:pt idx="5">
                  <c:v>42163.75</c:v>
                </c:pt>
                <c:pt idx="6">
                  <c:v>44596.5</c:v>
                </c:pt>
                <c:pt idx="7">
                  <c:v>47029.25</c:v>
                </c:pt>
                <c:pt idx="8">
                  <c:v>49462.0</c:v>
                </c:pt>
                <c:pt idx="9">
                  <c:v>51894.75</c:v>
                </c:pt>
                <c:pt idx="10">
                  <c:v>54327.5</c:v>
                </c:pt>
              </c:numCache>
            </c:numRef>
          </c:val>
          <c:smooth val="0"/>
        </c:ser>
        <c:ser>
          <c:idx val="11"/>
          <c:order val="11"/>
          <c:tx>
            <c:strRef>
              <c:f>'EV Analysis Per Mile Compared'!$W$175</c:f>
              <c:strCache>
                <c:ptCount val="1"/>
                <c:pt idx="0">
                  <c:v>(95 kWh Battery) ($150 Kwh)</c:v>
                </c:pt>
              </c:strCache>
            </c:strRef>
          </c:tx>
          <c:marker>
            <c:symbol val="none"/>
          </c:marker>
          <c:val>
            <c:numRef>
              <c:f>'EV Analysis Per Mile Compared'!$W$176:$W$186</c:f>
              <c:numCache>
                <c:formatCode>General</c:formatCode>
                <c:ptCount val="11"/>
                <c:pt idx="0">
                  <c:v>30000.0</c:v>
                </c:pt>
                <c:pt idx="1">
                  <c:v>32195.25</c:v>
                </c:pt>
                <c:pt idx="2">
                  <c:v>34390.5</c:v>
                </c:pt>
                <c:pt idx="3">
                  <c:v>36585.75</c:v>
                </c:pt>
                <c:pt idx="4">
                  <c:v>38781.0</c:v>
                </c:pt>
                <c:pt idx="5">
                  <c:v>40976.25</c:v>
                </c:pt>
                <c:pt idx="6">
                  <c:v>43171.5</c:v>
                </c:pt>
                <c:pt idx="7">
                  <c:v>45366.75</c:v>
                </c:pt>
                <c:pt idx="8">
                  <c:v>47562.0</c:v>
                </c:pt>
                <c:pt idx="9">
                  <c:v>49757.25</c:v>
                </c:pt>
                <c:pt idx="10">
                  <c:v>51952.5</c:v>
                </c:pt>
              </c:numCache>
            </c:numRef>
          </c:val>
          <c:smooth val="0"/>
        </c:ser>
        <c:dLbls>
          <c:showLegendKey val="0"/>
          <c:showVal val="0"/>
          <c:showCatName val="0"/>
          <c:showSerName val="0"/>
          <c:showPercent val="0"/>
          <c:showBubbleSize val="0"/>
        </c:dLbls>
        <c:marker val="1"/>
        <c:smooth val="0"/>
        <c:axId val="2098292424"/>
        <c:axId val="2098313512"/>
      </c:lineChart>
      <c:catAx>
        <c:axId val="2098292424"/>
        <c:scaling>
          <c:orientation val="minMax"/>
        </c:scaling>
        <c:delete val="0"/>
        <c:axPos val="b"/>
        <c:majorTickMark val="out"/>
        <c:minorTickMark val="none"/>
        <c:tickLblPos val="nextTo"/>
        <c:crossAx val="2098313512"/>
        <c:crosses val="autoZero"/>
        <c:auto val="1"/>
        <c:lblAlgn val="ctr"/>
        <c:lblOffset val="100"/>
        <c:noMultiLvlLbl val="0"/>
      </c:catAx>
      <c:valAx>
        <c:axId val="2098313512"/>
        <c:scaling>
          <c:orientation val="minMax"/>
        </c:scaling>
        <c:delete val="0"/>
        <c:axPos val="l"/>
        <c:majorGridlines/>
        <c:numFmt formatCode="General" sourceLinked="1"/>
        <c:majorTickMark val="out"/>
        <c:minorTickMark val="none"/>
        <c:tickLblPos val="nextTo"/>
        <c:crossAx val="2098292424"/>
        <c:crosses val="autoZero"/>
        <c:crossBetween val="between"/>
      </c:valAx>
    </c:plotArea>
    <c:legend>
      <c:legendPos val="r"/>
      <c:layout>
        <c:manualLayout>
          <c:xMode val="edge"/>
          <c:yMode val="edge"/>
          <c:x val="0.0573373983739838"/>
          <c:y val="0.743593922025085"/>
          <c:w val="0.934839034464955"/>
          <c:h val="0.252176789213772"/>
        </c:manualLayout>
      </c:layout>
      <c:overlay val="0"/>
    </c:legend>
    <c:plotVisOnly val="1"/>
    <c:dispBlanksAs val="gap"/>
    <c:showDLblsOverMax val="0"/>
  </c:chart>
  <c:printSettings>
    <c:headerFooter/>
    <c:pageMargins b="0.750000000000001" l="0.700000000000001" r="0.700000000000001" t="0.750000000000001"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ko-KR" sz="1200"/>
              <a:t>Changing Gasoline Prices and Cost-Per-Mile</a:t>
            </a:r>
            <a:r>
              <a:rPr lang="en-US" altLang="ko-KR" sz="1200" baseline="0"/>
              <a:t> Economics: </a:t>
            </a:r>
          </a:p>
          <a:p>
            <a:pPr>
              <a:defRPr/>
            </a:pPr>
            <a:r>
              <a:rPr lang="en-US" altLang="ko-KR" sz="1200" baseline="0"/>
              <a:t>Mid-Range Model ICE Compared to EV and PHEV</a:t>
            </a:r>
            <a:endParaRPr lang="ko-KR" altLang="en-US" sz="1200"/>
          </a:p>
        </c:rich>
      </c:tx>
      <c:overlay val="0"/>
    </c:title>
    <c:autoTitleDeleted val="0"/>
    <c:plotArea>
      <c:layout>
        <c:manualLayout>
          <c:layoutTarget val="inner"/>
          <c:xMode val="edge"/>
          <c:yMode val="edge"/>
          <c:x val="0.110705384934453"/>
          <c:y val="0.14373920651223"/>
          <c:w val="0.874495756680301"/>
          <c:h val="0.610924112746777"/>
        </c:manualLayout>
      </c:layout>
      <c:lineChart>
        <c:grouping val="standard"/>
        <c:varyColors val="0"/>
        <c:ser>
          <c:idx val="0"/>
          <c:order val="0"/>
          <c:tx>
            <c:strRef>
              <c:f>'EV Analysis Per Mile Compared'!$AG$56</c:f>
              <c:strCache>
                <c:ptCount val="1"/>
                <c:pt idx="0">
                  <c:v>$3.00</c:v>
                </c:pt>
              </c:strCache>
            </c:strRef>
          </c:tx>
          <c:spPr>
            <a:ln>
              <a:solidFill>
                <a:srgbClr val="00B0F0"/>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Compared'!$AG$61:$AG$71</c:f>
              <c:numCache>
                <c:formatCode>"$"#,##0.00</c:formatCode>
                <c:ptCount val="11"/>
                <c:pt idx="0">
                  <c:v>31273.0</c:v>
                </c:pt>
                <c:pt idx="1">
                  <c:v>33024.11111111111</c:v>
                </c:pt>
                <c:pt idx="2">
                  <c:v>34775.22222222222</c:v>
                </c:pt>
                <c:pt idx="3">
                  <c:v>36526.33333333334</c:v>
                </c:pt>
                <c:pt idx="4">
                  <c:v>38277.44444444444</c:v>
                </c:pt>
                <c:pt idx="5">
                  <c:v>40028.55555555555</c:v>
                </c:pt>
                <c:pt idx="6">
                  <c:v>41779.66666666666</c:v>
                </c:pt>
                <c:pt idx="7">
                  <c:v>43530.77777777778</c:v>
                </c:pt>
                <c:pt idx="8">
                  <c:v>45281.8888888889</c:v>
                </c:pt>
                <c:pt idx="9">
                  <c:v>47033.0</c:v>
                </c:pt>
                <c:pt idx="10">
                  <c:v>48784.11111111111</c:v>
                </c:pt>
              </c:numCache>
            </c:numRef>
          </c:val>
          <c:smooth val="0"/>
        </c:ser>
        <c:ser>
          <c:idx val="1"/>
          <c:order val="1"/>
          <c:tx>
            <c:strRef>
              <c:f>'EV Analysis Per Mile Compared'!$AK$56</c:f>
              <c:strCache>
                <c:ptCount val="1"/>
                <c:pt idx="0">
                  <c:v>$5.00</c:v>
                </c:pt>
              </c:strCache>
            </c:strRef>
          </c:tx>
          <c:spPr>
            <a:ln>
              <a:solidFill>
                <a:schemeClr val="accent6">
                  <a:lumMod val="75000"/>
                </a:schemeClr>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Compared'!$AK$61:$AK$71</c:f>
              <c:numCache>
                <c:formatCode>"$"#,##0.00</c:formatCode>
                <c:ptCount val="11"/>
                <c:pt idx="0">
                  <c:v>31273.0</c:v>
                </c:pt>
                <c:pt idx="1">
                  <c:v>33764.85185185185</c:v>
                </c:pt>
                <c:pt idx="2">
                  <c:v>36256.7037037037</c:v>
                </c:pt>
                <c:pt idx="3">
                  <c:v>38748.55555555555</c:v>
                </c:pt>
                <c:pt idx="4">
                  <c:v>41240.40740740741</c:v>
                </c:pt>
                <c:pt idx="5">
                  <c:v>43732.25925925925</c:v>
                </c:pt>
                <c:pt idx="6">
                  <c:v>46224.11111111111</c:v>
                </c:pt>
                <c:pt idx="7">
                  <c:v>48715.96296296296</c:v>
                </c:pt>
                <c:pt idx="8">
                  <c:v>51207.81481481481</c:v>
                </c:pt>
                <c:pt idx="9">
                  <c:v>53699.66666666666</c:v>
                </c:pt>
                <c:pt idx="10">
                  <c:v>56191.51851851851</c:v>
                </c:pt>
              </c:numCache>
            </c:numRef>
          </c:val>
          <c:smooth val="0"/>
        </c:ser>
        <c:ser>
          <c:idx val="2"/>
          <c:order val="2"/>
          <c:tx>
            <c:strRef>
              <c:f>'EV Analysis Per Mile Compared'!$AO$56</c:f>
              <c:strCache>
                <c:ptCount val="1"/>
                <c:pt idx="0">
                  <c:v>$7.00</c:v>
                </c:pt>
              </c:strCache>
            </c:strRef>
          </c:tx>
          <c:spPr>
            <a:ln>
              <a:solidFill>
                <a:srgbClr val="C00000"/>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Compared'!$AO$61:$AO$71</c:f>
              <c:numCache>
                <c:formatCode>"$"#,##0.00</c:formatCode>
                <c:ptCount val="11"/>
                <c:pt idx="0">
                  <c:v>31273.0</c:v>
                </c:pt>
                <c:pt idx="1">
                  <c:v>34505.5925925926</c:v>
                </c:pt>
                <c:pt idx="2">
                  <c:v>37738.18518518518</c:v>
                </c:pt>
                <c:pt idx="3">
                  <c:v>40970.77777777778</c:v>
                </c:pt>
                <c:pt idx="4">
                  <c:v>44203.37037037037</c:v>
                </c:pt>
                <c:pt idx="5">
                  <c:v>47435.96296296296</c:v>
                </c:pt>
                <c:pt idx="6">
                  <c:v>50668.55555555555</c:v>
                </c:pt>
                <c:pt idx="7">
                  <c:v>53901.14814814814</c:v>
                </c:pt>
                <c:pt idx="8">
                  <c:v>57133.74074074074</c:v>
                </c:pt>
                <c:pt idx="9">
                  <c:v>60366.33333333333</c:v>
                </c:pt>
                <c:pt idx="10">
                  <c:v>63598.92592592593</c:v>
                </c:pt>
              </c:numCache>
            </c:numRef>
          </c:val>
          <c:smooth val="0"/>
        </c:ser>
        <c:ser>
          <c:idx val="3"/>
          <c:order val="3"/>
          <c:tx>
            <c:strRef>
              <c:f>'EV Analysis Per Mile Compared'!$AW$59</c:f>
              <c:strCache>
                <c:ptCount val="1"/>
                <c:pt idx="0">
                  <c:v>Hypothetical PHEV_x000d_(22 kWh Battery)</c:v>
                </c:pt>
              </c:strCache>
            </c:strRef>
          </c:tx>
          <c:spPr>
            <a:ln>
              <a:solidFill>
                <a:schemeClr val="tx1"/>
              </a:solidFill>
              <a:prstDash val="sysDash"/>
            </a:ln>
          </c:spPr>
          <c:marker>
            <c:symbol val="none"/>
          </c:marker>
          <c:val>
            <c:numRef>
              <c:f>'EV Analysis Per Mile Compared'!$AW$60:$AW$70</c:f>
              <c:numCache>
                <c:formatCode>"$"#,##0</c:formatCode>
                <c:ptCount val="11"/>
                <c:pt idx="0">
                  <c:v>30000.0</c:v>
                </c:pt>
                <c:pt idx="1">
                  <c:v>31861.22</c:v>
                </c:pt>
                <c:pt idx="2">
                  <c:v>33722.44</c:v>
                </c:pt>
                <c:pt idx="3">
                  <c:v>35583.66</c:v>
                </c:pt>
                <c:pt idx="4">
                  <c:v>37444.88</c:v>
                </c:pt>
                <c:pt idx="5">
                  <c:v>39306.1</c:v>
                </c:pt>
                <c:pt idx="6">
                  <c:v>41167.32</c:v>
                </c:pt>
                <c:pt idx="7">
                  <c:v>43028.54</c:v>
                </c:pt>
                <c:pt idx="8">
                  <c:v>44889.76</c:v>
                </c:pt>
                <c:pt idx="9">
                  <c:v>46750.98</c:v>
                </c:pt>
                <c:pt idx="10">
                  <c:v>48612.2</c:v>
                </c:pt>
              </c:numCache>
            </c:numRef>
          </c:val>
          <c:smooth val="0"/>
        </c:ser>
        <c:dLbls>
          <c:showLegendKey val="0"/>
          <c:showVal val="0"/>
          <c:showCatName val="0"/>
          <c:showSerName val="0"/>
          <c:showPercent val="0"/>
          <c:showBubbleSize val="0"/>
        </c:dLbls>
        <c:marker val="1"/>
        <c:smooth val="0"/>
        <c:axId val="2098261176"/>
        <c:axId val="2098264328"/>
      </c:lineChart>
      <c:catAx>
        <c:axId val="2098261176"/>
        <c:scaling>
          <c:orientation val="minMax"/>
        </c:scaling>
        <c:delete val="0"/>
        <c:axPos val="b"/>
        <c:numFmt formatCode="General" sourceLinked="1"/>
        <c:majorTickMark val="none"/>
        <c:minorTickMark val="none"/>
        <c:tickLblPos val="nextTo"/>
        <c:crossAx val="2098264328"/>
        <c:crosses val="autoZero"/>
        <c:auto val="1"/>
        <c:lblAlgn val="ctr"/>
        <c:lblOffset val="100"/>
        <c:noMultiLvlLbl val="0"/>
      </c:catAx>
      <c:valAx>
        <c:axId val="2098264328"/>
        <c:scaling>
          <c:orientation val="minMax"/>
        </c:scaling>
        <c:delete val="0"/>
        <c:axPos val="l"/>
        <c:majorGridlines/>
        <c:numFmt formatCode="&quot;$&quot;#,##0.00" sourceLinked="1"/>
        <c:majorTickMark val="none"/>
        <c:minorTickMark val="none"/>
        <c:tickLblPos val="nextTo"/>
        <c:crossAx val="2098261176"/>
        <c:crosses val="autoZero"/>
        <c:crossBetween val="between"/>
      </c:valAx>
    </c:plotArea>
    <c:legend>
      <c:legendPos val="r"/>
      <c:layout>
        <c:manualLayout>
          <c:xMode val="edge"/>
          <c:yMode val="edge"/>
          <c:x val="0.0"/>
          <c:y val="0.861536307961505"/>
          <c:w val="0.912341723874905"/>
          <c:h val="0.111410551941877"/>
        </c:manualLayout>
      </c:layout>
      <c:overlay val="0"/>
    </c:legend>
    <c:plotVisOnly val="1"/>
    <c:dispBlanksAs val="gap"/>
    <c:showDLblsOverMax val="0"/>
  </c:chart>
  <c:printSettings>
    <c:headerFooter/>
    <c:pageMargins b="0.750000000000001" l="0.700000000000001" r="0.700000000000001" t="0.750000000000001"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ko-KR" sz="1200"/>
              <a:t>Changing Gasoline Prices and Cost-Per-Mile</a:t>
            </a:r>
            <a:r>
              <a:rPr lang="en-US" altLang="ko-KR" sz="1200" baseline="0"/>
              <a:t> Economics: </a:t>
            </a:r>
          </a:p>
          <a:p>
            <a:pPr>
              <a:defRPr/>
            </a:pPr>
            <a:r>
              <a:rPr lang="en-US" altLang="ko-KR" sz="1200" baseline="0"/>
              <a:t>Mid-Range Model ICE Compared to EV and PHEV</a:t>
            </a:r>
            <a:endParaRPr lang="ko-KR" altLang="en-US" sz="1200"/>
          </a:p>
        </c:rich>
      </c:tx>
      <c:overlay val="0"/>
    </c:title>
    <c:autoTitleDeleted val="0"/>
    <c:plotArea>
      <c:layout>
        <c:manualLayout>
          <c:layoutTarget val="inner"/>
          <c:xMode val="edge"/>
          <c:yMode val="edge"/>
          <c:x val="0.110705384934453"/>
          <c:y val="0.14373920651223"/>
          <c:w val="0.874495756680301"/>
          <c:h val="0.610924112746777"/>
        </c:manualLayout>
      </c:layout>
      <c:lineChart>
        <c:grouping val="standard"/>
        <c:varyColors val="0"/>
        <c:ser>
          <c:idx val="0"/>
          <c:order val="0"/>
          <c:tx>
            <c:strRef>
              <c:f>'EV Analysis Per Mile Compared'!$AI$56</c:f>
              <c:strCache>
                <c:ptCount val="1"/>
                <c:pt idx="0">
                  <c:v>$4.00</c:v>
                </c:pt>
              </c:strCache>
            </c:strRef>
          </c:tx>
          <c:spPr>
            <a:ln>
              <a:solidFill>
                <a:srgbClr val="00B0F0"/>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Compared'!$AI$61:$AI$71</c:f>
              <c:numCache>
                <c:formatCode>"$"#,##0.00</c:formatCode>
                <c:ptCount val="11"/>
                <c:pt idx="0">
                  <c:v>31273.0</c:v>
                </c:pt>
                <c:pt idx="1">
                  <c:v>33394.48148148148</c:v>
                </c:pt>
                <c:pt idx="2">
                  <c:v>35515.96296296296</c:v>
                </c:pt>
                <c:pt idx="3">
                  <c:v>37637.44444444444</c:v>
                </c:pt>
                <c:pt idx="4">
                  <c:v>39758.92592592593</c:v>
                </c:pt>
                <c:pt idx="5">
                  <c:v>41880.40740740741</c:v>
                </c:pt>
                <c:pt idx="6">
                  <c:v>44001.8888888889</c:v>
                </c:pt>
                <c:pt idx="7">
                  <c:v>46123.37037037037</c:v>
                </c:pt>
                <c:pt idx="8">
                  <c:v>48244.85185185185</c:v>
                </c:pt>
                <c:pt idx="9">
                  <c:v>50366.33333333333</c:v>
                </c:pt>
                <c:pt idx="10">
                  <c:v>52487.81481481481</c:v>
                </c:pt>
              </c:numCache>
            </c:numRef>
          </c:val>
          <c:smooth val="0"/>
        </c:ser>
        <c:ser>
          <c:idx val="2"/>
          <c:order val="1"/>
          <c:tx>
            <c:strRef>
              <c:f>'EV Analysis Per Mile Compared'!$AU$56</c:f>
              <c:strCache>
                <c:ptCount val="1"/>
                <c:pt idx="0">
                  <c:v>$10.00</c:v>
                </c:pt>
              </c:strCache>
            </c:strRef>
          </c:tx>
          <c:spPr>
            <a:ln>
              <a:solidFill>
                <a:srgbClr val="C00000"/>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Compared'!$AU$61:$AU$71</c:f>
              <c:numCache>
                <c:formatCode>"$"#,##0.00</c:formatCode>
                <c:ptCount val="11"/>
                <c:pt idx="0">
                  <c:v>31273.0</c:v>
                </c:pt>
                <c:pt idx="1">
                  <c:v>35616.7037037037</c:v>
                </c:pt>
                <c:pt idx="2">
                  <c:v>39960.40740740741</c:v>
                </c:pt>
                <c:pt idx="3">
                  <c:v>44304.11111111111</c:v>
                </c:pt>
                <c:pt idx="4">
                  <c:v>48647.81481481481</c:v>
                </c:pt>
                <c:pt idx="5">
                  <c:v>52991.51851851851</c:v>
                </c:pt>
                <c:pt idx="6">
                  <c:v>57335.22222222222</c:v>
                </c:pt>
                <c:pt idx="7">
                  <c:v>61678.92592592593</c:v>
                </c:pt>
                <c:pt idx="8">
                  <c:v>66022.62962962963</c:v>
                </c:pt>
                <c:pt idx="9">
                  <c:v>70366.33333333333</c:v>
                </c:pt>
                <c:pt idx="10">
                  <c:v>74710.03703703704</c:v>
                </c:pt>
              </c:numCache>
            </c:numRef>
          </c:val>
          <c:smooth val="0"/>
        </c:ser>
        <c:ser>
          <c:idx val="7"/>
          <c:order val="2"/>
          <c:tx>
            <c:strRef>
              <c:f>'EV Analysis Per Mile Compared'!$AS$56</c:f>
              <c:strCache>
                <c:ptCount val="1"/>
                <c:pt idx="0">
                  <c:v>$9.00</c:v>
                </c:pt>
              </c:strCache>
            </c:strRef>
          </c:tx>
          <c:spPr>
            <a:ln w="31750"/>
          </c:spPr>
          <c:marker>
            <c:symbol val="none"/>
          </c:marker>
          <c:val>
            <c:numRef>
              <c:f>'EV Analysis Per Mile Compared'!$AS$61:$AS$71</c:f>
              <c:numCache>
                <c:formatCode>"$"#,##0.00</c:formatCode>
                <c:ptCount val="11"/>
                <c:pt idx="0">
                  <c:v>31273.0</c:v>
                </c:pt>
                <c:pt idx="1">
                  <c:v>35246.33333333334</c:v>
                </c:pt>
                <c:pt idx="2">
                  <c:v>39219.66666666666</c:v>
                </c:pt>
                <c:pt idx="3">
                  <c:v>43193.0</c:v>
                </c:pt>
                <c:pt idx="4">
                  <c:v>47166.33333333333</c:v>
                </c:pt>
                <c:pt idx="5">
                  <c:v>51139.66666666666</c:v>
                </c:pt>
                <c:pt idx="6">
                  <c:v>55113.0</c:v>
                </c:pt>
                <c:pt idx="7">
                  <c:v>59086.33333333333</c:v>
                </c:pt>
                <c:pt idx="8">
                  <c:v>63059.66666666666</c:v>
                </c:pt>
                <c:pt idx="9">
                  <c:v>67033.0</c:v>
                </c:pt>
                <c:pt idx="10">
                  <c:v>71006.33333333333</c:v>
                </c:pt>
              </c:numCache>
            </c:numRef>
          </c:val>
          <c:smooth val="0"/>
        </c:ser>
        <c:ser>
          <c:idx val="3"/>
          <c:order val="3"/>
          <c:tx>
            <c:strRef>
              <c:f>'EV Analysis Per Mile Compared'!$AX$59</c:f>
              <c:strCache>
                <c:ptCount val="1"/>
                <c:pt idx="0">
                  <c:v>Tesla Blue Star_x000d_(42 kWh Battery) </c:v>
                </c:pt>
              </c:strCache>
            </c:strRef>
          </c:tx>
          <c:spPr>
            <a:ln>
              <a:solidFill>
                <a:schemeClr val="tx1"/>
              </a:solidFill>
              <a:prstDash val="sysDash"/>
            </a:ln>
          </c:spPr>
          <c:marker>
            <c:symbol val="none"/>
          </c:marker>
          <c:val>
            <c:numRef>
              <c:f>'EV Analysis Per Mile Compared'!$AX$60:$AX$70</c:f>
              <c:numCache>
                <c:formatCode>"$"#,##0</c:formatCode>
                <c:ptCount val="11"/>
                <c:pt idx="0">
                  <c:v>30000.0</c:v>
                </c:pt>
                <c:pt idx="1">
                  <c:v>32240.25</c:v>
                </c:pt>
                <c:pt idx="2">
                  <c:v>34480.5</c:v>
                </c:pt>
                <c:pt idx="3">
                  <c:v>36720.75</c:v>
                </c:pt>
                <c:pt idx="4">
                  <c:v>38961.0</c:v>
                </c:pt>
                <c:pt idx="5">
                  <c:v>41201.25</c:v>
                </c:pt>
                <c:pt idx="6">
                  <c:v>43441.5</c:v>
                </c:pt>
                <c:pt idx="7">
                  <c:v>45681.75</c:v>
                </c:pt>
                <c:pt idx="8">
                  <c:v>47922.0</c:v>
                </c:pt>
                <c:pt idx="9">
                  <c:v>50162.25</c:v>
                </c:pt>
                <c:pt idx="10">
                  <c:v>52402.5</c:v>
                </c:pt>
              </c:numCache>
            </c:numRef>
          </c:val>
          <c:smooth val="0"/>
        </c:ser>
        <c:ser>
          <c:idx val="5"/>
          <c:order val="4"/>
          <c:tx>
            <c:strRef>
              <c:f>'EV Analysis Per Mile Compared'!$AY$59</c:f>
              <c:strCache>
                <c:ptCount val="1"/>
                <c:pt idx="0">
                  <c:v>Tesla Blue Star_x000d_(70 kWh Battery)</c:v>
                </c:pt>
              </c:strCache>
            </c:strRef>
          </c:tx>
          <c:spPr>
            <a:ln>
              <a:solidFill>
                <a:schemeClr val="tx1"/>
              </a:solidFill>
            </a:ln>
          </c:spPr>
          <c:marker>
            <c:symbol val="none"/>
          </c:marker>
          <c:val>
            <c:numRef>
              <c:f>'EV Analysis Per Mile Compared'!$AY$60:$AY$70</c:f>
              <c:numCache>
                <c:formatCode>"$"#,##0</c:formatCode>
                <c:ptCount val="11"/>
                <c:pt idx="0">
                  <c:v>39800.0</c:v>
                </c:pt>
                <c:pt idx="1">
                  <c:v>43020.25</c:v>
                </c:pt>
                <c:pt idx="2">
                  <c:v>46240.5</c:v>
                </c:pt>
                <c:pt idx="3">
                  <c:v>49460.75</c:v>
                </c:pt>
                <c:pt idx="4">
                  <c:v>52681.0</c:v>
                </c:pt>
                <c:pt idx="5">
                  <c:v>55901.25</c:v>
                </c:pt>
                <c:pt idx="6">
                  <c:v>59121.5</c:v>
                </c:pt>
                <c:pt idx="7">
                  <c:v>62341.75</c:v>
                </c:pt>
                <c:pt idx="8">
                  <c:v>65562.0</c:v>
                </c:pt>
                <c:pt idx="9">
                  <c:v>68782.25</c:v>
                </c:pt>
                <c:pt idx="10">
                  <c:v>72002.5</c:v>
                </c:pt>
              </c:numCache>
            </c:numRef>
          </c:val>
          <c:smooth val="0"/>
        </c:ser>
        <c:ser>
          <c:idx val="6"/>
          <c:order val="5"/>
          <c:tx>
            <c:strRef>
              <c:f>'EV Analysis Per Mile Compared'!$AZ$59</c:f>
              <c:strCache>
                <c:ptCount val="1"/>
                <c:pt idx="0">
                  <c:v>Tesla Blue Star_x000d_(95 kWh Battery)</c:v>
                </c:pt>
              </c:strCache>
            </c:strRef>
          </c:tx>
          <c:spPr>
            <a:ln>
              <a:solidFill>
                <a:schemeClr val="tx1"/>
              </a:solidFill>
              <a:prstDash val="dashDot"/>
            </a:ln>
          </c:spPr>
          <c:marker>
            <c:symbol val="none"/>
          </c:marker>
          <c:val>
            <c:numRef>
              <c:f>'EV Analysis Per Mile Compared'!$AZ$60:$AZ$70</c:f>
              <c:numCache>
                <c:formatCode>"$"#,##0</c:formatCode>
                <c:ptCount val="11"/>
                <c:pt idx="0">
                  <c:v>48550.0</c:v>
                </c:pt>
                <c:pt idx="1">
                  <c:v>52645.25</c:v>
                </c:pt>
                <c:pt idx="2">
                  <c:v>56740.5</c:v>
                </c:pt>
                <c:pt idx="3">
                  <c:v>60835.75</c:v>
                </c:pt>
                <c:pt idx="4">
                  <c:v>64931.0</c:v>
                </c:pt>
                <c:pt idx="5">
                  <c:v>69026.25</c:v>
                </c:pt>
                <c:pt idx="6">
                  <c:v>73121.5</c:v>
                </c:pt>
                <c:pt idx="7">
                  <c:v>77216.75</c:v>
                </c:pt>
                <c:pt idx="8">
                  <c:v>81312.0</c:v>
                </c:pt>
                <c:pt idx="9">
                  <c:v>85407.25</c:v>
                </c:pt>
                <c:pt idx="10">
                  <c:v>89502.5</c:v>
                </c:pt>
              </c:numCache>
            </c:numRef>
          </c:val>
          <c:smooth val="0"/>
        </c:ser>
        <c:dLbls>
          <c:showLegendKey val="0"/>
          <c:showVal val="0"/>
          <c:showCatName val="0"/>
          <c:showSerName val="0"/>
          <c:showPercent val="0"/>
          <c:showBubbleSize val="0"/>
        </c:dLbls>
        <c:marker val="1"/>
        <c:smooth val="0"/>
        <c:axId val="2108217000"/>
        <c:axId val="2108220168"/>
      </c:lineChart>
      <c:catAx>
        <c:axId val="2108217000"/>
        <c:scaling>
          <c:orientation val="minMax"/>
        </c:scaling>
        <c:delete val="0"/>
        <c:axPos val="b"/>
        <c:numFmt formatCode="General" sourceLinked="1"/>
        <c:majorTickMark val="none"/>
        <c:minorTickMark val="none"/>
        <c:tickLblPos val="nextTo"/>
        <c:crossAx val="2108220168"/>
        <c:crosses val="autoZero"/>
        <c:auto val="1"/>
        <c:lblAlgn val="ctr"/>
        <c:lblOffset val="100"/>
        <c:noMultiLvlLbl val="0"/>
      </c:catAx>
      <c:valAx>
        <c:axId val="2108220168"/>
        <c:scaling>
          <c:orientation val="minMax"/>
        </c:scaling>
        <c:delete val="0"/>
        <c:axPos val="l"/>
        <c:majorGridlines/>
        <c:numFmt formatCode="&quot;$&quot;#,##0.00" sourceLinked="1"/>
        <c:majorTickMark val="none"/>
        <c:minorTickMark val="none"/>
        <c:tickLblPos val="nextTo"/>
        <c:crossAx val="2108217000"/>
        <c:crosses val="autoZero"/>
        <c:crossBetween val="between"/>
      </c:valAx>
    </c:plotArea>
    <c:legend>
      <c:legendPos val="r"/>
      <c:layout>
        <c:manualLayout>
          <c:xMode val="edge"/>
          <c:yMode val="edge"/>
          <c:x val="0.0"/>
          <c:y val="0.807430027768268"/>
          <c:w val="0.869702517162472"/>
          <c:h val="0.192569972231732"/>
        </c:manualLayout>
      </c:layout>
      <c:overlay val="0"/>
    </c:legend>
    <c:plotVisOnly val="1"/>
    <c:dispBlanksAs val="gap"/>
    <c:showDLblsOverMax val="0"/>
  </c:chart>
  <c:printSettings>
    <c:headerFooter/>
    <c:pageMargins b="0.750000000000001" l="0.700000000000001" r="0.700000000000001" t="0.750000000000001"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ltLang="ko-KR" sz="1200"/>
              <a:t>Changing Gasoline Prices and Electric</a:t>
            </a:r>
            <a:r>
              <a:rPr lang="en-US" altLang="ko-KR" sz="1200" baseline="0"/>
              <a:t> Vehicle Economics</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200" b="1" i="0" baseline="0"/>
              <a:t>Luxury Model ICE Compared to EV and PHEV</a:t>
            </a:r>
            <a:endParaRPr lang="ko-KR" sz="1200" b="1" i="0" baseline="0"/>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endParaRPr lang="ko-KR" altLang="en-US" sz="1400"/>
          </a:p>
        </c:rich>
      </c:tx>
      <c:layout/>
      <c:overlay val="0"/>
    </c:title>
    <c:autoTitleDeleted val="0"/>
    <c:plotArea>
      <c:layout/>
      <c:lineChart>
        <c:grouping val="standard"/>
        <c:varyColors val="0"/>
        <c:ser>
          <c:idx val="0"/>
          <c:order val="0"/>
          <c:tx>
            <c:strRef>
              <c:f>'EV Analysis Per Mile Compared'!$AG$14</c:f>
              <c:strCache>
                <c:ptCount val="1"/>
                <c:pt idx="0">
                  <c:v>$3.00</c:v>
                </c:pt>
              </c:strCache>
            </c:strRef>
          </c:tx>
          <c:spPr>
            <a:ln>
              <a:solidFill>
                <a:schemeClr val="accent6">
                  <a:lumMod val="75000"/>
                </a:schemeClr>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Compared'!$AG$20:$AG$30</c:f>
              <c:numCache>
                <c:formatCode>"$"#,##0.00</c:formatCode>
                <c:ptCount val="11"/>
                <c:pt idx="0" formatCode="&quot;$&quot;#,##0_);[Red]\(&quot;$&quot;#,##0\)">
                  <c:v>48062.5</c:v>
                </c:pt>
                <c:pt idx="1">
                  <c:v>50240.96153846154</c:v>
                </c:pt>
                <c:pt idx="2">
                  <c:v>52419.42307692308</c:v>
                </c:pt>
                <c:pt idx="3">
                  <c:v>54597.88461538461</c:v>
                </c:pt>
                <c:pt idx="4">
                  <c:v>56776.34615384615</c:v>
                </c:pt>
                <c:pt idx="5">
                  <c:v>58954.8076923077</c:v>
                </c:pt>
                <c:pt idx="6">
                  <c:v>61133.26923076923</c:v>
                </c:pt>
                <c:pt idx="7">
                  <c:v>63311.73076923077</c:v>
                </c:pt>
                <c:pt idx="8">
                  <c:v>65490.19230769231</c:v>
                </c:pt>
                <c:pt idx="9">
                  <c:v>67668.65384615384</c:v>
                </c:pt>
                <c:pt idx="10">
                  <c:v>69847.1153846154</c:v>
                </c:pt>
              </c:numCache>
            </c:numRef>
          </c:val>
          <c:smooth val="0"/>
        </c:ser>
        <c:ser>
          <c:idx val="1"/>
          <c:order val="1"/>
          <c:tx>
            <c:strRef>
              <c:f>'EV Analysis Per Mile Compared'!$AK$14</c:f>
              <c:strCache>
                <c:ptCount val="1"/>
                <c:pt idx="0">
                  <c:v>$5.00</c:v>
                </c:pt>
              </c:strCache>
            </c:strRef>
          </c:tx>
          <c:spPr>
            <a:ln>
              <a:solidFill>
                <a:srgbClr val="9900CC"/>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Compared'!$AK$20:$AK$30</c:f>
              <c:numCache>
                <c:formatCode>"$"#,##0.00</c:formatCode>
                <c:ptCount val="11"/>
                <c:pt idx="0" formatCode="&quot;$&quot;#,##0_);[Red]\(&quot;$&quot;#,##0\)">
                  <c:v>48062.5</c:v>
                </c:pt>
                <c:pt idx="1">
                  <c:v>51266.60256410256</c:v>
                </c:pt>
                <c:pt idx="2">
                  <c:v>54470.70512820513</c:v>
                </c:pt>
                <c:pt idx="3">
                  <c:v>57674.80769230769</c:v>
                </c:pt>
                <c:pt idx="4">
                  <c:v>60878.91025641025</c:v>
                </c:pt>
                <c:pt idx="5">
                  <c:v>64083.01282051282</c:v>
                </c:pt>
                <c:pt idx="6">
                  <c:v>67287.11538461537</c:v>
                </c:pt>
                <c:pt idx="7">
                  <c:v>70491.21794871794</c:v>
                </c:pt>
                <c:pt idx="8">
                  <c:v>73695.32051282051</c:v>
                </c:pt>
                <c:pt idx="9">
                  <c:v>76899.42307692308</c:v>
                </c:pt>
                <c:pt idx="10">
                  <c:v>80103.52564102564</c:v>
                </c:pt>
              </c:numCache>
            </c:numRef>
          </c:val>
          <c:smooth val="0"/>
        </c:ser>
        <c:ser>
          <c:idx val="2"/>
          <c:order val="2"/>
          <c:tx>
            <c:strRef>
              <c:f>'EV Analysis Per Mile Compared'!$AO$14</c:f>
              <c:strCache>
                <c:ptCount val="1"/>
                <c:pt idx="0">
                  <c:v>$7.00</c:v>
                </c:pt>
              </c:strCache>
            </c:strRef>
          </c:tx>
          <c:spPr>
            <a:ln>
              <a:solidFill>
                <a:srgbClr val="00B050"/>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Compared'!$AO$20:$AO$30</c:f>
              <c:numCache>
                <c:formatCode>"$"#,##0.00</c:formatCode>
                <c:ptCount val="11"/>
                <c:pt idx="0" formatCode="&quot;$&quot;#,##0_);[Red]\(&quot;$&quot;#,##0\)">
                  <c:v>48062.5</c:v>
                </c:pt>
                <c:pt idx="1">
                  <c:v>52292.24358974359</c:v>
                </c:pt>
                <c:pt idx="2">
                  <c:v>56521.98717948717</c:v>
                </c:pt>
                <c:pt idx="3">
                  <c:v>60751.73076923077</c:v>
                </c:pt>
                <c:pt idx="4">
                  <c:v>64981.47435897435</c:v>
                </c:pt>
                <c:pt idx="5">
                  <c:v>69211.21794871795</c:v>
                </c:pt>
                <c:pt idx="6">
                  <c:v>73440.96153846153</c:v>
                </c:pt>
                <c:pt idx="7">
                  <c:v>77670.7051282051</c:v>
                </c:pt>
                <c:pt idx="8">
                  <c:v>81900.44871794871</c:v>
                </c:pt>
                <c:pt idx="9">
                  <c:v>86130.19230769231</c:v>
                </c:pt>
                <c:pt idx="10">
                  <c:v>90359.9358974359</c:v>
                </c:pt>
              </c:numCache>
            </c:numRef>
          </c:val>
          <c:smooth val="0"/>
        </c:ser>
        <c:ser>
          <c:idx val="3"/>
          <c:order val="3"/>
          <c:tx>
            <c:strRef>
              <c:f>'EV Analysis Per Mile Compared'!$P$23</c:f>
              <c:strCache>
                <c:ptCount val="1"/>
                <c:pt idx="0">
                  <c:v>Tesla Model S _x000d_(42 kWh Battery) </c:v>
                </c:pt>
              </c:strCache>
            </c:strRef>
          </c:tx>
          <c:spPr>
            <a:ln>
              <a:solidFill>
                <a:schemeClr val="tx1"/>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Compared'!$P$29:$P$39</c:f>
              <c:numCache>
                <c:formatCode>"$"#,##0</c:formatCode>
                <c:ptCount val="11"/>
                <c:pt idx="0">
                  <c:v>57400.0</c:v>
                </c:pt>
                <c:pt idx="1">
                  <c:v>59666.9</c:v>
                </c:pt>
                <c:pt idx="2">
                  <c:v>61933.8</c:v>
                </c:pt>
                <c:pt idx="3">
                  <c:v>64200.7</c:v>
                </c:pt>
                <c:pt idx="4">
                  <c:v>66467.6</c:v>
                </c:pt>
                <c:pt idx="5">
                  <c:v>68734.5</c:v>
                </c:pt>
                <c:pt idx="6">
                  <c:v>71001.4</c:v>
                </c:pt>
                <c:pt idx="7">
                  <c:v>73268.3</c:v>
                </c:pt>
                <c:pt idx="8">
                  <c:v>75535.2</c:v>
                </c:pt>
                <c:pt idx="9">
                  <c:v>77802.1</c:v>
                </c:pt>
                <c:pt idx="10">
                  <c:v>80069.0</c:v>
                </c:pt>
              </c:numCache>
            </c:numRef>
          </c:val>
          <c:smooth val="0"/>
        </c:ser>
        <c:ser>
          <c:idx val="4"/>
          <c:order val="4"/>
          <c:tx>
            <c:strRef>
              <c:f>'EV Analysis Per Mile Compared'!$R$23</c:f>
              <c:strCache>
                <c:ptCount val="1"/>
                <c:pt idx="0">
                  <c:v>Tesla Model S _x000d_(95 kWh Battery)</c:v>
                </c:pt>
              </c:strCache>
            </c:strRef>
          </c:tx>
          <c:spPr>
            <a:ln>
              <a:solidFill>
                <a:schemeClr val="tx1"/>
              </a:solidFill>
              <a:prstDash val="sysDash"/>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Compared'!$R$29:$R$39</c:f>
              <c:numCache>
                <c:formatCode>"$"#,##0</c:formatCode>
                <c:ptCount val="11"/>
                <c:pt idx="0">
                  <c:v>83900.0</c:v>
                </c:pt>
                <c:pt idx="1">
                  <c:v>88021.9</c:v>
                </c:pt>
                <c:pt idx="2">
                  <c:v>92143.8</c:v>
                </c:pt>
                <c:pt idx="3">
                  <c:v>96265.7</c:v>
                </c:pt>
                <c:pt idx="4">
                  <c:v>100387.6</c:v>
                </c:pt>
                <c:pt idx="5">
                  <c:v>104509.5</c:v>
                </c:pt>
                <c:pt idx="6">
                  <c:v>108631.4</c:v>
                </c:pt>
                <c:pt idx="7">
                  <c:v>112753.3</c:v>
                </c:pt>
                <c:pt idx="8">
                  <c:v>116875.2</c:v>
                </c:pt>
                <c:pt idx="9">
                  <c:v>120997.1</c:v>
                </c:pt>
                <c:pt idx="10">
                  <c:v>125119.0</c:v>
                </c:pt>
              </c:numCache>
            </c:numRef>
          </c:val>
          <c:smooth val="0"/>
        </c:ser>
        <c:dLbls>
          <c:showLegendKey val="0"/>
          <c:showVal val="0"/>
          <c:showCatName val="0"/>
          <c:showSerName val="0"/>
          <c:showPercent val="0"/>
          <c:showBubbleSize val="0"/>
        </c:dLbls>
        <c:marker val="1"/>
        <c:smooth val="0"/>
        <c:axId val="2108412200"/>
        <c:axId val="2108201032"/>
      </c:lineChart>
      <c:catAx>
        <c:axId val="2108412200"/>
        <c:scaling>
          <c:orientation val="minMax"/>
        </c:scaling>
        <c:delete val="0"/>
        <c:axPos val="b"/>
        <c:numFmt formatCode="General" sourceLinked="1"/>
        <c:majorTickMark val="none"/>
        <c:minorTickMark val="none"/>
        <c:tickLblPos val="nextTo"/>
        <c:crossAx val="2108201032"/>
        <c:crosses val="autoZero"/>
        <c:auto val="1"/>
        <c:lblAlgn val="ctr"/>
        <c:lblOffset val="100"/>
        <c:noMultiLvlLbl val="0"/>
      </c:catAx>
      <c:valAx>
        <c:axId val="2108201032"/>
        <c:scaling>
          <c:orientation val="minMax"/>
        </c:scaling>
        <c:delete val="0"/>
        <c:axPos val="l"/>
        <c:majorGridlines/>
        <c:numFmt formatCode="&quot;$&quot;#,##0_);[Red]\(&quot;$&quot;#,##0\)" sourceLinked="1"/>
        <c:majorTickMark val="none"/>
        <c:minorTickMark val="none"/>
        <c:tickLblPos val="nextTo"/>
        <c:crossAx val="2108412200"/>
        <c:crosses val="autoZero"/>
        <c:crossBetween val="between"/>
      </c:valAx>
    </c:plotArea>
    <c:legend>
      <c:legendPos val="r"/>
      <c:layout>
        <c:manualLayout>
          <c:xMode val="edge"/>
          <c:yMode val="edge"/>
          <c:x val="0.796210712704736"/>
          <c:y val="0.114610369356004"/>
          <c:w val="0.193165117308544"/>
          <c:h val="0.783880710563354"/>
        </c:manualLayout>
      </c:layout>
      <c:overlay val="0"/>
    </c:legend>
    <c:plotVisOnly val="1"/>
    <c:dispBlanksAs val="gap"/>
    <c:showDLblsOverMax val="0"/>
  </c:chart>
  <c:printSettings>
    <c:headerFooter/>
    <c:pageMargins b="0.750000000000001" l="0.700000000000001" r="0.700000000000001" t="0.750000000000001"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ko-KR" sz="1200"/>
              <a:t>Changing Gasoline Prices and Cost-Per-Mile</a:t>
            </a:r>
            <a:r>
              <a:rPr lang="en-US" altLang="ko-KR" sz="1200" baseline="0"/>
              <a:t> Economics: </a:t>
            </a:r>
          </a:p>
          <a:p>
            <a:pPr>
              <a:defRPr/>
            </a:pPr>
            <a:r>
              <a:rPr lang="en-US" altLang="ko-KR" sz="1200" baseline="0"/>
              <a:t>Mid-Range Model ICE Compared to EV and PHEV</a:t>
            </a:r>
            <a:endParaRPr lang="ko-KR" altLang="en-US" sz="1200"/>
          </a:p>
        </c:rich>
      </c:tx>
      <c:layout/>
      <c:overlay val="0"/>
    </c:title>
    <c:autoTitleDeleted val="0"/>
    <c:plotArea>
      <c:layout>
        <c:manualLayout>
          <c:layoutTarget val="inner"/>
          <c:xMode val="edge"/>
          <c:yMode val="edge"/>
          <c:x val="0.110705384934453"/>
          <c:y val="0.14373920651223"/>
          <c:w val="0.874495756680302"/>
          <c:h val="0.610924112746777"/>
        </c:manualLayout>
      </c:layout>
      <c:lineChart>
        <c:grouping val="standard"/>
        <c:varyColors val="0"/>
        <c:ser>
          <c:idx val="0"/>
          <c:order val="0"/>
          <c:tx>
            <c:strRef>
              <c:f>'EV Analysis Per Mile Compared'!$AI$56</c:f>
              <c:strCache>
                <c:ptCount val="1"/>
                <c:pt idx="0">
                  <c:v>$4.00</c:v>
                </c:pt>
              </c:strCache>
            </c:strRef>
          </c:tx>
          <c:spPr>
            <a:ln>
              <a:solidFill>
                <a:srgbClr val="00B0F0"/>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Compared'!$AI$61:$AI$71</c:f>
              <c:numCache>
                <c:formatCode>"$"#,##0.00</c:formatCode>
                <c:ptCount val="11"/>
                <c:pt idx="0">
                  <c:v>31273.0</c:v>
                </c:pt>
                <c:pt idx="1">
                  <c:v>33394.48148148148</c:v>
                </c:pt>
                <c:pt idx="2">
                  <c:v>35515.96296296296</c:v>
                </c:pt>
                <c:pt idx="3">
                  <c:v>37637.44444444444</c:v>
                </c:pt>
                <c:pt idx="4">
                  <c:v>39758.92592592593</c:v>
                </c:pt>
                <c:pt idx="5">
                  <c:v>41880.40740740741</c:v>
                </c:pt>
                <c:pt idx="6">
                  <c:v>44001.8888888889</c:v>
                </c:pt>
                <c:pt idx="7">
                  <c:v>46123.37037037037</c:v>
                </c:pt>
                <c:pt idx="8">
                  <c:v>48244.85185185185</c:v>
                </c:pt>
                <c:pt idx="9">
                  <c:v>50366.33333333333</c:v>
                </c:pt>
                <c:pt idx="10">
                  <c:v>52487.81481481481</c:v>
                </c:pt>
              </c:numCache>
            </c:numRef>
          </c:val>
          <c:smooth val="0"/>
        </c:ser>
        <c:ser>
          <c:idx val="2"/>
          <c:order val="1"/>
          <c:tx>
            <c:strRef>
              <c:f>'EV Analysis Per Mile Compared'!$AU$56</c:f>
              <c:strCache>
                <c:ptCount val="1"/>
                <c:pt idx="0">
                  <c:v>$10.00</c:v>
                </c:pt>
              </c:strCache>
            </c:strRef>
          </c:tx>
          <c:spPr>
            <a:ln>
              <a:solidFill>
                <a:srgbClr val="C00000"/>
              </a:solidFill>
            </a:ln>
          </c:spPr>
          <c:marker>
            <c:symbol val="none"/>
          </c:marker>
          <c:cat>
            <c:numRef>
              <c:f>'EV Analysis Per Mile Compared'!$AB$20:$AB$30</c:f>
              <c:numCache>
                <c:formatCode>#,##0</c:formatCode>
                <c:ptCount val="11"/>
                <c:pt idx="0" formatCode="General">
                  <c:v>0.0</c:v>
                </c:pt>
                <c:pt idx="1">
                  <c:v>10000.0</c:v>
                </c:pt>
                <c:pt idx="2">
                  <c:v>20000.0</c:v>
                </c:pt>
                <c:pt idx="3">
                  <c:v>30000.0</c:v>
                </c:pt>
                <c:pt idx="4">
                  <c:v>40000.0</c:v>
                </c:pt>
                <c:pt idx="5">
                  <c:v>50000.0</c:v>
                </c:pt>
                <c:pt idx="6">
                  <c:v>60000.0</c:v>
                </c:pt>
                <c:pt idx="7">
                  <c:v>70000.0</c:v>
                </c:pt>
                <c:pt idx="8">
                  <c:v>80000.0</c:v>
                </c:pt>
                <c:pt idx="9">
                  <c:v>90000.0</c:v>
                </c:pt>
                <c:pt idx="10">
                  <c:v>100000.0</c:v>
                </c:pt>
              </c:numCache>
            </c:numRef>
          </c:cat>
          <c:val>
            <c:numRef>
              <c:f>'EV Analysis Per Mile Compared'!$AO$20:$AO$30</c:f>
              <c:numCache>
                <c:formatCode>"$"#,##0.00</c:formatCode>
                <c:ptCount val="11"/>
                <c:pt idx="0" formatCode="&quot;$&quot;#,##0_);[Red]\(&quot;$&quot;#,##0\)">
                  <c:v>48062.5</c:v>
                </c:pt>
                <c:pt idx="1">
                  <c:v>52292.24358974359</c:v>
                </c:pt>
                <c:pt idx="2">
                  <c:v>56521.98717948717</c:v>
                </c:pt>
                <c:pt idx="3">
                  <c:v>60751.73076923077</c:v>
                </c:pt>
                <c:pt idx="4">
                  <c:v>64981.47435897435</c:v>
                </c:pt>
                <c:pt idx="5">
                  <c:v>69211.21794871795</c:v>
                </c:pt>
                <c:pt idx="6">
                  <c:v>73440.96153846153</c:v>
                </c:pt>
                <c:pt idx="7">
                  <c:v>77670.7051282051</c:v>
                </c:pt>
                <c:pt idx="8">
                  <c:v>81900.44871794871</c:v>
                </c:pt>
                <c:pt idx="9">
                  <c:v>86130.19230769231</c:v>
                </c:pt>
                <c:pt idx="10">
                  <c:v>90359.9358974359</c:v>
                </c:pt>
              </c:numCache>
            </c:numRef>
          </c:val>
          <c:smooth val="0"/>
        </c:ser>
        <c:ser>
          <c:idx val="7"/>
          <c:order val="2"/>
          <c:tx>
            <c:strRef>
              <c:f>'EV Analysis Per Mile Compared'!$AS$56</c:f>
              <c:strCache>
                <c:ptCount val="1"/>
                <c:pt idx="0">
                  <c:v>$9.00</c:v>
                </c:pt>
              </c:strCache>
            </c:strRef>
          </c:tx>
          <c:spPr>
            <a:ln w="31750"/>
          </c:spPr>
          <c:marker>
            <c:symbol val="none"/>
          </c:marker>
          <c:val>
            <c:numRef>
              <c:f>'EV Analysis Per Mile Compared'!$AS$61:$AS$71</c:f>
              <c:numCache>
                <c:formatCode>"$"#,##0.00</c:formatCode>
                <c:ptCount val="11"/>
                <c:pt idx="0">
                  <c:v>31273.0</c:v>
                </c:pt>
                <c:pt idx="1">
                  <c:v>35246.33333333334</c:v>
                </c:pt>
                <c:pt idx="2">
                  <c:v>39219.66666666666</c:v>
                </c:pt>
                <c:pt idx="3">
                  <c:v>43193.0</c:v>
                </c:pt>
                <c:pt idx="4">
                  <c:v>47166.33333333333</c:v>
                </c:pt>
                <c:pt idx="5">
                  <c:v>51139.66666666666</c:v>
                </c:pt>
                <c:pt idx="6">
                  <c:v>55113.0</c:v>
                </c:pt>
                <c:pt idx="7">
                  <c:v>59086.33333333333</c:v>
                </c:pt>
                <c:pt idx="8">
                  <c:v>63059.66666666666</c:v>
                </c:pt>
                <c:pt idx="9">
                  <c:v>67033.0</c:v>
                </c:pt>
                <c:pt idx="10">
                  <c:v>71006.33333333333</c:v>
                </c:pt>
              </c:numCache>
            </c:numRef>
          </c:val>
          <c:smooth val="0"/>
        </c:ser>
        <c:ser>
          <c:idx val="3"/>
          <c:order val="3"/>
          <c:tx>
            <c:strRef>
              <c:f>'EV Analysis Per Mile Compared'!$AX$18</c:f>
              <c:strCache>
                <c:ptCount val="1"/>
                <c:pt idx="0">
                  <c:v>Tesla Model S _x000d_(42 kWh Battery) </c:v>
                </c:pt>
              </c:strCache>
            </c:strRef>
          </c:tx>
          <c:spPr>
            <a:ln>
              <a:solidFill>
                <a:schemeClr val="tx1"/>
              </a:solidFill>
              <a:prstDash val="sysDash"/>
            </a:ln>
          </c:spPr>
          <c:marker>
            <c:symbol val="none"/>
          </c:marker>
          <c:val>
            <c:numRef>
              <c:f>'EV Analysis Per Mile Compared'!$AX$19:$AX$29</c:f>
              <c:numCache>
                <c:formatCode>General</c:formatCode>
                <c:ptCount val="11"/>
                <c:pt idx="0">
                  <c:v>57400.0</c:v>
                </c:pt>
                <c:pt idx="1">
                  <c:v>59666.9</c:v>
                </c:pt>
                <c:pt idx="2">
                  <c:v>61933.8</c:v>
                </c:pt>
                <c:pt idx="3">
                  <c:v>64200.7</c:v>
                </c:pt>
                <c:pt idx="4">
                  <c:v>66467.6</c:v>
                </c:pt>
                <c:pt idx="5">
                  <c:v>68734.5</c:v>
                </c:pt>
                <c:pt idx="6">
                  <c:v>71001.4</c:v>
                </c:pt>
                <c:pt idx="7">
                  <c:v>73268.3</c:v>
                </c:pt>
                <c:pt idx="8">
                  <c:v>75535.2</c:v>
                </c:pt>
                <c:pt idx="9">
                  <c:v>77802.1</c:v>
                </c:pt>
                <c:pt idx="10">
                  <c:v>80069.0</c:v>
                </c:pt>
              </c:numCache>
            </c:numRef>
          </c:val>
          <c:smooth val="0"/>
        </c:ser>
        <c:ser>
          <c:idx val="5"/>
          <c:order val="4"/>
          <c:tx>
            <c:strRef>
              <c:f>'EV Analysis Per Mile Compared'!$AY$18</c:f>
              <c:strCache>
                <c:ptCount val="1"/>
                <c:pt idx="0">
                  <c:v>Tesla Model S _x000d_(70 kWh Battery)</c:v>
                </c:pt>
              </c:strCache>
            </c:strRef>
          </c:tx>
          <c:spPr>
            <a:ln>
              <a:solidFill>
                <a:schemeClr val="tx1"/>
              </a:solidFill>
            </a:ln>
          </c:spPr>
          <c:marker>
            <c:symbol val="none"/>
          </c:marker>
          <c:val>
            <c:numRef>
              <c:f>'EV Analysis Per Mile Compared'!$AY$19:$AY$29</c:f>
              <c:numCache>
                <c:formatCode>General</c:formatCode>
                <c:ptCount val="11"/>
                <c:pt idx="0">
                  <c:v>71400.0</c:v>
                </c:pt>
                <c:pt idx="1">
                  <c:v>74646.9</c:v>
                </c:pt>
                <c:pt idx="2">
                  <c:v>77893.8</c:v>
                </c:pt>
                <c:pt idx="3">
                  <c:v>81140.7</c:v>
                </c:pt>
                <c:pt idx="4">
                  <c:v>84387.6</c:v>
                </c:pt>
                <c:pt idx="5">
                  <c:v>87634.5</c:v>
                </c:pt>
                <c:pt idx="6">
                  <c:v>90881.4</c:v>
                </c:pt>
                <c:pt idx="7">
                  <c:v>94128.3</c:v>
                </c:pt>
                <c:pt idx="8">
                  <c:v>97375.2</c:v>
                </c:pt>
                <c:pt idx="9">
                  <c:v>100622.1</c:v>
                </c:pt>
                <c:pt idx="10">
                  <c:v>103869.0</c:v>
                </c:pt>
              </c:numCache>
            </c:numRef>
          </c:val>
          <c:smooth val="0"/>
        </c:ser>
        <c:ser>
          <c:idx val="6"/>
          <c:order val="5"/>
          <c:tx>
            <c:strRef>
              <c:f>'EV Analysis Per Mile Compared'!$AZ$18</c:f>
              <c:strCache>
                <c:ptCount val="1"/>
                <c:pt idx="0">
                  <c:v>Tesla Model S _x000d_(95 kWh Battery)</c:v>
                </c:pt>
              </c:strCache>
            </c:strRef>
          </c:tx>
          <c:spPr>
            <a:ln>
              <a:solidFill>
                <a:schemeClr val="tx1"/>
              </a:solidFill>
              <a:prstDash val="dashDot"/>
            </a:ln>
          </c:spPr>
          <c:marker>
            <c:symbol val="none"/>
          </c:marker>
          <c:val>
            <c:numRef>
              <c:f>'EV Analysis Per Mile Compared'!$AZ$19:$AZ$29</c:f>
              <c:numCache>
                <c:formatCode>General</c:formatCode>
                <c:ptCount val="11"/>
                <c:pt idx="0">
                  <c:v>83900.0</c:v>
                </c:pt>
                <c:pt idx="1">
                  <c:v>88021.9</c:v>
                </c:pt>
                <c:pt idx="2">
                  <c:v>92143.8</c:v>
                </c:pt>
                <c:pt idx="3">
                  <c:v>96265.7</c:v>
                </c:pt>
                <c:pt idx="4">
                  <c:v>100387.6</c:v>
                </c:pt>
                <c:pt idx="5">
                  <c:v>104509.5</c:v>
                </c:pt>
                <c:pt idx="6">
                  <c:v>108631.4</c:v>
                </c:pt>
                <c:pt idx="7">
                  <c:v>112753.3</c:v>
                </c:pt>
                <c:pt idx="8">
                  <c:v>116875.2</c:v>
                </c:pt>
                <c:pt idx="9">
                  <c:v>120997.1</c:v>
                </c:pt>
                <c:pt idx="10">
                  <c:v>125119.0</c:v>
                </c:pt>
              </c:numCache>
            </c:numRef>
          </c:val>
          <c:smooth val="0"/>
        </c:ser>
        <c:dLbls>
          <c:showLegendKey val="0"/>
          <c:showVal val="0"/>
          <c:showCatName val="0"/>
          <c:showSerName val="0"/>
          <c:showPercent val="0"/>
          <c:showBubbleSize val="0"/>
        </c:dLbls>
        <c:marker val="1"/>
        <c:smooth val="0"/>
        <c:axId val="2108401816"/>
        <c:axId val="2108388456"/>
      </c:lineChart>
      <c:catAx>
        <c:axId val="2108401816"/>
        <c:scaling>
          <c:orientation val="minMax"/>
        </c:scaling>
        <c:delete val="0"/>
        <c:axPos val="b"/>
        <c:numFmt formatCode="General" sourceLinked="1"/>
        <c:majorTickMark val="none"/>
        <c:minorTickMark val="none"/>
        <c:tickLblPos val="nextTo"/>
        <c:crossAx val="2108388456"/>
        <c:crosses val="autoZero"/>
        <c:auto val="1"/>
        <c:lblAlgn val="ctr"/>
        <c:lblOffset val="100"/>
        <c:noMultiLvlLbl val="0"/>
      </c:catAx>
      <c:valAx>
        <c:axId val="2108388456"/>
        <c:scaling>
          <c:orientation val="minMax"/>
        </c:scaling>
        <c:delete val="0"/>
        <c:axPos val="l"/>
        <c:majorGridlines/>
        <c:numFmt formatCode="&quot;$&quot;#,##0.00" sourceLinked="1"/>
        <c:majorTickMark val="none"/>
        <c:minorTickMark val="none"/>
        <c:tickLblPos val="nextTo"/>
        <c:crossAx val="2108401816"/>
        <c:crosses val="autoZero"/>
        <c:crossBetween val="between"/>
      </c:valAx>
    </c:plotArea>
    <c:legend>
      <c:legendPos val="r"/>
      <c:layout>
        <c:manualLayout>
          <c:xMode val="edge"/>
          <c:yMode val="edge"/>
          <c:x val="0.0"/>
          <c:y val="0.807430027768268"/>
          <c:w val="0.869702517162472"/>
          <c:h val="0.192569972231732"/>
        </c:manualLayout>
      </c:layout>
      <c:overlay val="0"/>
    </c:legend>
    <c:plotVisOnly val="1"/>
    <c:dispBlanksAs val="gap"/>
    <c:showDLblsOverMax val="0"/>
  </c:chart>
  <c:printSettings>
    <c:headerFooter/>
    <c:pageMargins b="0.750000000000001" l="0.700000000000001" r="0.700000000000001" t="0.750000000000001"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altLang="ko-KR" sz="1400"/>
              <a:t>Per kWh Battery</a:t>
            </a:r>
            <a:r>
              <a:rPr lang="en-US" altLang="ko-KR" sz="1400" baseline="0"/>
              <a:t> Cost Forecasts:</a:t>
            </a:r>
          </a:p>
          <a:p>
            <a:pPr>
              <a:defRPr sz="1400"/>
            </a:pPr>
            <a:r>
              <a:rPr lang="en-US" altLang="ko-KR" sz="1400" baseline="0"/>
              <a:t>Real and Projected</a:t>
            </a:r>
            <a:endParaRPr lang="ko-KR" altLang="en-US" sz="1400"/>
          </a:p>
        </c:rich>
      </c:tx>
      <c:overlay val="0"/>
    </c:title>
    <c:autoTitleDeleted val="0"/>
    <c:plotArea>
      <c:layout>
        <c:manualLayout>
          <c:layoutTarget val="inner"/>
          <c:xMode val="edge"/>
          <c:yMode val="edge"/>
          <c:x val="0.119480711939919"/>
          <c:y val="0.248198922503108"/>
          <c:w val="0.81933990833885"/>
          <c:h val="0.553060183266565"/>
        </c:manualLayout>
      </c:layout>
      <c:lineChart>
        <c:grouping val="standard"/>
        <c:varyColors val="0"/>
        <c:ser>
          <c:idx val="0"/>
          <c:order val="0"/>
          <c:tx>
            <c:strRef>
              <c:f>'DOE Projections'!$C$11</c:f>
              <c:strCache>
                <c:ptCount val="1"/>
                <c:pt idx="0">
                  <c:v>Projected Costs</c:v>
                </c:pt>
              </c:strCache>
            </c:strRef>
          </c:tx>
          <c:marker>
            <c:symbol val="none"/>
          </c:marker>
          <c:cat>
            <c:numRef>
              <c:f>'DOE Projections'!$B$14:$B$21</c:f>
              <c:numCache>
                <c:formatCode>General</c:formatCode>
                <c:ptCount val="8"/>
                <c:pt idx="0">
                  <c:v>2009.0</c:v>
                </c:pt>
                <c:pt idx="1">
                  <c:v>2012.0</c:v>
                </c:pt>
                <c:pt idx="2">
                  <c:v>2015.0</c:v>
                </c:pt>
                <c:pt idx="3">
                  <c:v>2018.0</c:v>
                </c:pt>
                <c:pt idx="4">
                  <c:v>2021.0</c:v>
                </c:pt>
                <c:pt idx="5">
                  <c:v>2024.0</c:v>
                </c:pt>
                <c:pt idx="6">
                  <c:v>2027.0</c:v>
                </c:pt>
                <c:pt idx="7">
                  <c:v>2030.0</c:v>
                </c:pt>
              </c:numCache>
            </c:numRef>
          </c:cat>
          <c:val>
            <c:numRef>
              <c:f>'DOE Projections'!$C$14:$C$21</c:f>
              <c:numCache>
                <c:formatCode>"$"#,##0</c:formatCode>
                <c:ptCount val="8"/>
                <c:pt idx="0">
                  <c:v>1010.090909090909</c:v>
                </c:pt>
                <c:pt idx="1">
                  <c:v>505.0606060606061</c:v>
                </c:pt>
                <c:pt idx="2">
                  <c:v>303.030303030303</c:v>
                </c:pt>
                <c:pt idx="3">
                  <c:v>227.2727272727273</c:v>
                </c:pt>
                <c:pt idx="4">
                  <c:v>151.5151515151515</c:v>
                </c:pt>
                <c:pt idx="5">
                  <c:v>134.6767676767677</c:v>
                </c:pt>
                <c:pt idx="6">
                  <c:v>117.8383838383838</c:v>
                </c:pt>
                <c:pt idx="7">
                  <c:v>101.0</c:v>
                </c:pt>
              </c:numCache>
            </c:numRef>
          </c:val>
          <c:smooth val="0"/>
        </c:ser>
        <c:ser>
          <c:idx val="1"/>
          <c:order val="1"/>
          <c:tx>
            <c:strRef>
              <c:f>'DOE Projections'!$D$23</c:f>
              <c:strCache>
                <c:ptCount val="1"/>
                <c:pt idx="0">
                  <c:v>Real Costs</c:v>
                </c:pt>
              </c:strCache>
            </c:strRef>
          </c:tx>
          <c:spPr>
            <a:ln>
              <a:solidFill>
                <a:schemeClr val="accent1"/>
              </a:solidFill>
              <a:prstDash val="sysDash"/>
            </a:ln>
          </c:spPr>
          <c:marker>
            <c:symbol val="none"/>
          </c:marker>
          <c:cat>
            <c:numRef>
              <c:f>'DOE Projections'!$B$14:$B$21</c:f>
              <c:numCache>
                <c:formatCode>General</c:formatCode>
                <c:ptCount val="8"/>
                <c:pt idx="0">
                  <c:v>2009.0</c:v>
                </c:pt>
                <c:pt idx="1">
                  <c:v>2012.0</c:v>
                </c:pt>
                <c:pt idx="2">
                  <c:v>2015.0</c:v>
                </c:pt>
                <c:pt idx="3">
                  <c:v>2018.0</c:v>
                </c:pt>
                <c:pt idx="4">
                  <c:v>2021.0</c:v>
                </c:pt>
                <c:pt idx="5">
                  <c:v>2024.0</c:v>
                </c:pt>
                <c:pt idx="6">
                  <c:v>2027.0</c:v>
                </c:pt>
                <c:pt idx="7">
                  <c:v>2030.0</c:v>
                </c:pt>
              </c:numCache>
            </c:numRef>
          </c:cat>
          <c:val>
            <c:numRef>
              <c:f>'DOE Projections'!$D$24:$D$26</c:f>
              <c:numCache>
                <c:formatCode>General</c:formatCode>
                <c:ptCount val="3"/>
                <c:pt idx="0">
                  <c:v>500.0</c:v>
                </c:pt>
                <c:pt idx="1">
                  <c:v>350.0</c:v>
                </c:pt>
                <c:pt idx="2">
                  <c:v>303.0</c:v>
                </c:pt>
              </c:numCache>
            </c:numRef>
          </c:val>
          <c:smooth val="0"/>
        </c:ser>
        <c:dLbls>
          <c:showLegendKey val="0"/>
          <c:showVal val="0"/>
          <c:showCatName val="0"/>
          <c:showSerName val="0"/>
          <c:showPercent val="0"/>
          <c:showBubbleSize val="0"/>
        </c:dLbls>
        <c:marker val="1"/>
        <c:smooth val="0"/>
        <c:axId val="2108462088"/>
        <c:axId val="2108504008"/>
      </c:lineChart>
      <c:catAx>
        <c:axId val="2108462088"/>
        <c:scaling>
          <c:orientation val="minMax"/>
        </c:scaling>
        <c:delete val="0"/>
        <c:axPos val="b"/>
        <c:numFmt formatCode="General" sourceLinked="1"/>
        <c:majorTickMark val="none"/>
        <c:minorTickMark val="none"/>
        <c:tickLblPos val="nextTo"/>
        <c:crossAx val="2108504008"/>
        <c:crosses val="autoZero"/>
        <c:auto val="1"/>
        <c:lblAlgn val="ctr"/>
        <c:lblOffset val="100"/>
        <c:noMultiLvlLbl val="0"/>
      </c:catAx>
      <c:valAx>
        <c:axId val="2108504008"/>
        <c:scaling>
          <c:orientation val="minMax"/>
        </c:scaling>
        <c:delete val="0"/>
        <c:axPos val="l"/>
        <c:majorGridlines/>
        <c:numFmt formatCode="&quot;$&quot;#,##0" sourceLinked="1"/>
        <c:majorTickMark val="none"/>
        <c:minorTickMark val="none"/>
        <c:tickLblPos val="nextTo"/>
        <c:crossAx val="2108462088"/>
        <c:crosses val="autoZero"/>
        <c:crossBetween val="between"/>
      </c:valAx>
    </c:plotArea>
    <c:legend>
      <c:legendPos val="r"/>
      <c:layout>
        <c:manualLayout>
          <c:xMode val="edge"/>
          <c:yMode val="edge"/>
          <c:x val="0.121936856955506"/>
          <c:y val="0.913530229773909"/>
          <c:w val="0.669497075813023"/>
          <c:h val="0.0849863240779113"/>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t>99 kWh (300 Mile Range) Battery Cost Forecasts:</a:t>
            </a:r>
            <a:endParaRPr lang="en-US" sz="1400"/>
          </a:p>
          <a:p>
            <a:pPr>
              <a:defRPr sz="1400"/>
            </a:pPr>
            <a:r>
              <a:rPr lang="en-US" sz="1400" b="1" i="0" baseline="0"/>
              <a:t>Real and Projected</a:t>
            </a:r>
            <a:endParaRPr lang="ko-KR" sz="1400" b="1" i="0" baseline="0"/>
          </a:p>
        </c:rich>
      </c:tx>
      <c:overlay val="0"/>
    </c:title>
    <c:autoTitleDeleted val="0"/>
    <c:plotArea>
      <c:layout>
        <c:manualLayout>
          <c:layoutTarget val="inner"/>
          <c:xMode val="edge"/>
          <c:yMode val="edge"/>
          <c:x val="0.121948437763961"/>
          <c:y val="0.211912814187112"/>
          <c:w val="0.828569615611235"/>
          <c:h val="0.617102784422191"/>
        </c:manualLayout>
      </c:layout>
      <c:lineChart>
        <c:grouping val="standard"/>
        <c:varyColors val="0"/>
        <c:ser>
          <c:idx val="0"/>
          <c:order val="0"/>
          <c:tx>
            <c:strRef>
              <c:f>'DOE Projections'!$C$11</c:f>
              <c:strCache>
                <c:ptCount val="1"/>
                <c:pt idx="0">
                  <c:v>Projected Costs</c:v>
                </c:pt>
              </c:strCache>
            </c:strRef>
          </c:tx>
          <c:marker>
            <c:symbol val="none"/>
          </c:marker>
          <c:cat>
            <c:numRef>
              <c:f>'DOE Projections'!$B$14:$B$21</c:f>
              <c:numCache>
                <c:formatCode>General</c:formatCode>
                <c:ptCount val="8"/>
                <c:pt idx="0">
                  <c:v>2009.0</c:v>
                </c:pt>
                <c:pt idx="1">
                  <c:v>2012.0</c:v>
                </c:pt>
                <c:pt idx="2">
                  <c:v>2015.0</c:v>
                </c:pt>
                <c:pt idx="3">
                  <c:v>2018.0</c:v>
                </c:pt>
                <c:pt idx="4">
                  <c:v>2021.0</c:v>
                </c:pt>
                <c:pt idx="5">
                  <c:v>2024.0</c:v>
                </c:pt>
                <c:pt idx="6">
                  <c:v>2027.0</c:v>
                </c:pt>
                <c:pt idx="7">
                  <c:v>2030.0</c:v>
                </c:pt>
              </c:numCache>
            </c:numRef>
          </c:cat>
          <c:val>
            <c:numRef>
              <c:f>'DOE Projections'!$E$14:$E$21</c:f>
              <c:numCache>
                <c:formatCode>"$"#,##0</c:formatCode>
                <c:ptCount val="8"/>
                <c:pt idx="0">
                  <c:v>99999.0</c:v>
                </c:pt>
                <c:pt idx="1">
                  <c:v>50001.0</c:v>
                </c:pt>
                <c:pt idx="2">
                  <c:v>3</c:v>
                </c:pt>
                <c:pt idx="3">
                  <c:v>22500.0</c:v>
                </c:pt>
                <c:pt idx="4">
                  <c:v>15</c:v>
                </c:pt>
                <c:pt idx="5">
                  <c:v>13333.0</c:v>
                </c:pt>
                <c:pt idx="6">
                  <c:v>11666.0</c:v>
                </c:pt>
                <c:pt idx="7">
                  <c:v>9999.0</c:v>
                </c:pt>
              </c:numCache>
            </c:numRef>
          </c:val>
          <c:smooth val="0"/>
        </c:ser>
        <c:ser>
          <c:idx val="1"/>
          <c:order val="1"/>
          <c:tx>
            <c:strRef>
              <c:f>'DOE Projections'!$D$23</c:f>
              <c:strCache>
                <c:ptCount val="1"/>
                <c:pt idx="0">
                  <c:v>Real Costs</c:v>
                </c:pt>
              </c:strCache>
            </c:strRef>
          </c:tx>
          <c:spPr>
            <a:ln>
              <a:solidFill>
                <a:schemeClr val="accent1"/>
              </a:solidFill>
              <a:prstDash val="sysDash"/>
            </a:ln>
          </c:spPr>
          <c:marker>
            <c:symbol val="none"/>
          </c:marker>
          <c:cat>
            <c:numRef>
              <c:f>'DOE Projections'!$B$14:$B$21</c:f>
              <c:numCache>
                <c:formatCode>General</c:formatCode>
                <c:ptCount val="8"/>
                <c:pt idx="0">
                  <c:v>2009.0</c:v>
                </c:pt>
                <c:pt idx="1">
                  <c:v>2012.0</c:v>
                </c:pt>
                <c:pt idx="2">
                  <c:v>2015.0</c:v>
                </c:pt>
                <c:pt idx="3">
                  <c:v>2018.0</c:v>
                </c:pt>
                <c:pt idx="4">
                  <c:v>2021.0</c:v>
                </c:pt>
                <c:pt idx="5">
                  <c:v>2024.0</c:v>
                </c:pt>
                <c:pt idx="6">
                  <c:v>2027.0</c:v>
                </c:pt>
                <c:pt idx="7">
                  <c:v>2030.0</c:v>
                </c:pt>
              </c:numCache>
            </c:numRef>
          </c:cat>
          <c:val>
            <c:numRef>
              <c:f>'DOE Projections'!$E$24:$E$26</c:f>
              <c:numCache>
                <c:formatCode>General</c:formatCode>
                <c:ptCount val="3"/>
                <c:pt idx="0">
                  <c:v>49500.0</c:v>
                </c:pt>
                <c:pt idx="1">
                  <c:v>34650.0</c:v>
                </c:pt>
                <c:pt idx="2">
                  <c:v>29997.0</c:v>
                </c:pt>
              </c:numCache>
            </c:numRef>
          </c:val>
          <c:smooth val="0"/>
        </c:ser>
        <c:dLbls>
          <c:showLegendKey val="0"/>
          <c:showVal val="0"/>
          <c:showCatName val="0"/>
          <c:showSerName val="0"/>
          <c:showPercent val="0"/>
          <c:showBubbleSize val="0"/>
        </c:dLbls>
        <c:marker val="1"/>
        <c:smooth val="0"/>
        <c:axId val="2098208632"/>
        <c:axId val="2108109624"/>
      </c:lineChart>
      <c:catAx>
        <c:axId val="2098208632"/>
        <c:scaling>
          <c:orientation val="minMax"/>
        </c:scaling>
        <c:delete val="0"/>
        <c:axPos val="b"/>
        <c:numFmt formatCode="General" sourceLinked="1"/>
        <c:majorTickMark val="none"/>
        <c:minorTickMark val="none"/>
        <c:tickLblPos val="nextTo"/>
        <c:crossAx val="2108109624"/>
        <c:crosses val="autoZero"/>
        <c:auto val="1"/>
        <c:lblAlgn val="ctr"/>
        <c:lblOffset val="100"/>
        <c:noMultiLvlLbl val="0"/>
      </c:catAx>
      <c:valAx>
        <c:axId val="2108109624"/>
        <c:scaling>
          <c:orientation val="minMax"/>
        </c:scaling>
        <c:delete val="0"/>
        <c:axPos val="l"/>
        <c:majorGridlines/>
        <c:numFmt formatCode="&quot;$&quot;#,##0" sourceLinked="1"/>
        <c:majorTickMark val="none"/>
        <c:minorTickMark val="none"/>
        <c:tickLblPos val="nextTo"/>
        <c:crossAx val="2098208632"/>
        <c:crosses val="autoZero"/>
        <c:crossBetween val="between"/>
      </c:valAx>
    </c:plotArea>
    <c:legend>
      <c:legendPos val="r"/>
      <c:layout>
        <c:manualLayout>
          <c:xMode val="edge"/>
          <c:yMode val="edge"/>
          <c:x val="0.286942359943863"/>
          <c:y val="0.899857033591841"/>
          <c:w val="0.491135531135531"/>
          <c:h val="0.0950303077768581"/>
        </c:manualLayout>
      </c:layout>
      <c:overlay val="0"/>
    </c:legend>
    <c:plotVisOnly val="1"/>
    <c:dispBlanksAs val="gap"/>
    <c:showDLblsOverMax val="0"/>
  </c:chart>
  <c:printSettings>
    <c:headerFooter/>
    <c:pageMargins b="0.750000000000001" l="0.700000000000001" r="0.700000000000001" t="0.750000000000001"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1" Type="http://schemas.openxmlformats.org/officeDocument/2006/relationships/chart" Target="../charts/chart1.xml"/><Relationship Id="rId2"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 Id="rId2"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400049</xdr:colOff>
      <xdr:row>1</xdr:row>
      <xdr:rowOff>38097</xdr:rowOff>
    </xdr:from>
    <xdr:to>
      <xdr:col>7</xdr:col>
      <xdr:colOff>342901</xdr:colOff>
      <xdr:row>92</xdr:row>
      <xdr:rowOff>57150</xdr:rowOff>
    </xdr:to>
    <xdr:sp macro="" textlink="">
      <xdr:nvSpPr>
        <xdr:cNvPr id="2" name="직사각형 1"/>
        <xdr:cNvSpPr/>
      </xdr:nvSpPr>
      <xdr:spPr>
        <a:xfrm>
          <a:off x="400049" y="228597"/>
          <a:ext cx="4210052" cy="174593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r>
            <a:rPr lang="en-US" sz="1100" b="0" i="0">
              <a:solidFill>
                <a:sysClr val="windowText" lastClr="000000"/>
              </a:solidFill>
              <a:latin typeface="+mn-lt"/>
              <a:ea typeface="+mn-ea"/>
              <a:cs typeface="+mn-cs"/>
            </a:rPr>
            <a:t> Purpose:</a:t>
          </a:r>
        </a:p>
        <a:p>
          <a:endParaRPr lang="en-US" sz="1100" b="0" i="0">
            <a:solidFill>
              <a:sysClr val="windowText" lastClr="000000"/>
            </a:solidFill>
            <a:latin typeface="+mn-lt"/>
            <a:ea typeface="+mn-ea"/>
            <a:cs typeface="+mn-cs"/>
          </a:endParaRPr>
        </a:p>
        <a:p>
          <a:r>
            <a:rPr lang="en-US" sz="1100" b="0" i="0">
              <a:solidFill>
                <a:sysClr val="windowText" lastClr="000000"/>
              </a:solidFill>
              <a:latin typeface="+mn-lt"/>
              <a:ea typeface="+mn-ea"/>
              <a:cs typeface="+mn-cs"/>
            </a:rPr>
            <a:t>To analyze the market</a:t>
          </a:r>
          <a:r>
            <a:rPr lang="en-US" sz="1100" b="0" i="0" baseline="0">
              <a:solidFill>
                <a:sysClr val="windowText" lastClr="000000"/>
              </a:solidFill>
              <a:latin typeface="+mn-lt"/>
              <a:ea typeface="+mn-ea"/>
              <a:cs typeface="+mn-cs"/>
            </a:rPr>
            <a:t> competitiveness of Luxury Electri c Vehicles and Mid-Range Electric Vehicles and Plug-in-Electric Hybrids using existing  and concept models ready for the market place: Tesla Model S, Tesla Blue Star, and the Fisker Nina. </a:t>
          </a:r>
          <a:endParaRPr lang="en-US" sz="1100" b="0" i="0">
            <a:solidFill>
              <a:sysClr val="windowText" lastClr="000000"/>
            </a:solidFill>
            <a:latin typeface="+mn-lt"/>
            <a:ea typeface="+mn-ea"/>
            <a:cs typeface="+mn-cs"/>
          </a:endParaRPr>
        </a:p>
        <a:p>
          <a:endParaRPr lang="en-US" sz="1100" b="0" i="0">
            <a:solidFill>
              <a:sysClr val="windowText" lastClr="000000"/>
            </a:solidFill>
            <a:latin typeface="+mn-lt"/>
            <a:ea typeface="+mn-ea"/>
            <a:cs typeface="+mn-cs"/>
          </a:endParaRPr>
        </a:p>
        <a:p>
          <a:r>
            <a:rPr lang="en-US" sz="1100" b="0" i="0">
              <a:solidFill>
                <a:sysClr val="windowText" lastClr="000000"/>
              </a:solidFill>
              <a:latin typeface="+mn-lt"/>
              <a:ea typeface="+mn-ea"/>
              <a:cs typeface="+mn-cs"/>
            </a:rPr>
            <a:t>Assumptions: </a:t>
          </a:r>
        </a:p>
        <a:p>
          <a:endParaRPr lang="en-US" sz="1100" b="0" i="0">
            <a:solidFill>
              <a:sysClr val="windowText" lastClr="000000"/>
            </a:solidFill>
            <a:latin typeface="+mn-lt"/>
            <a:ea typeface="+mn-ea"/>
            <a:cs typeface="+mn-cs"/>
          </a:endParaRPr>
        </a:p>
        <a:p>
          <a:r>
            <a:rPr lang="en-US" sz="1100" b="0" i="0">
              <a:solidFill>
                <a:sysClr val="windowText" lastClr="000000"/>
              </a:solidFill>
              <a:latin typeface="+mn-lt"/>
              <a:ea typeface="+mn-ea"/>
              <a:cs typeface="+mn-cs"/>
            </a:rPr>
            <a:t>(1) "There are 32.91 kilowatt-hours of energy in a gallon of gas, and Korean Household Consumers pay $.10 per  kilowatt-hour</a:t>
          </a:r>
          <a:r>
            <a:rPr lang="en-US" sz="1100" b="0" i="0" baseline="0">
              <a:solidFill>
                <a:sysClr val="windowText" lastClr="000000"/>
              </a:solidFill>
              <a:latin typeface="+mn-lt"/>
              <a:ea typeface="+mn-ea"/>
              <a:cs typeface="+mn-cs"/>
            </a:rPr>
            <a:t> for electricity. </a:t>
          </a:r>
        </a:p>
        <a:p>
          <a:endParaRPr lang="en-US" sz="1100" b="0" i="0" baseline="0">
            <a:solidFill>
              <a:sysClr val="windowText" lastClr="000000"/>
            </a:solidFill>
            <a:latin typeface="+mn-lt"/>
            <a:ea typeface="+mn-ea"/>
            <a:cs typeface="+mn-cs"/>
          </a:endParaRPr>
        </a:p>
        <a:p>
          <a:r>
            <a:rPr lang="en-US" sz="1100" b="0" i="0" baseline="0">
              <a:solidFill>
                <a:sysClr val="windowText" lastClr="000000"/>
              </a:solidFill>
              <a:latin typeface="+mn-lt"/>
              <a:ea typeface="+mn-ea"/>
              <a:cs typeface="+mn-cs"/>
            </a:rPr>
            <a:t>(2) 4th Quarter 2009 Gasoline Prices are Assumed to be held constant. Although Gasoline Prices vary, 4th quarter 2009 West Texas Intermediate Prices were </a:t>
          </a:r>
          <a:r>
            <a:rPr lang="en-US" sz="1100" b="0" i="0">
              <a:solidFill>
                <a:sysClr val="windowText" lastClr="000000"/>
              </a:solidFill>
              <a:latin typeface="+mn-lt"/>
              <a:ea typeface="+mn-ea"/>
              <a:cs typeface="+mn-cs"/>
            </a:rPr>
            <a:t>75.72, 77.99, and 74.47, respectively, which</a:t>
          </a:r>
          <a:r>
            <a:rPr lang="en-US" sz="1100" b="0" i="0" baseline="0">
              <a:solidFill>
                <a:sysClr val="windowText" lastClr="000000"/>
              </a:solidFill>
              <a:latin typeface="+mn-lt"/>
              <a:ea typeface="+mn-ea"/>
              <a:cs typeface="+mn-cs"/>
            </a:rPr>
            <a:t> averages out to  $76.09 per barrel for 4th quarter 2009. It is rather reasonable to assume that future oil prices will not deviate significantly away from this average price, with the exception of a drop off in global demand or a unwavering increases in demand ahead of decreasing confidence in projections for increases in daily production. The High level of Gasoline Prices in Korea reflect tax rates, and there are no plans to lower these tax rates in Korea (source: Korean Government Fuel Tax Economist) </a:t>
          </a:r>
        </a:p>
        <a:p>
          <a:endParaRPr lang="en-US" sz="1100" b="0" i="0" baseline="0">
            <a:solidFill>
              <a:sysClr val="windowText" lastClr="000000"/>
            </a:solidFill>
            <a:latin typeface="+mn-lt"/>
            <a:ea typeface="+mn-ea"/>
            <a:cs typeface="+mn-cs"/>
          </a:endParaRPr>
        </a:p>
        <a:p>
          <a:r>
            <a:rPr lang="en-US" sz="1100" b="0" i="0" baseline="0">
              <a:solidFill>
                <a:sysClr val="windowText" lastClr="000000"/>
              </a:solidFill>
              <a:latin typeface="+mn-lt"/>
              <a:ea typeface="+mn-ea"/>
              <a:cs typeface="+mn-cs"/>
            </a:rPr>
            <a:t>(3) Cars Are grouped by class and then by performance within the range of 0-60 Miles Per Hour between 5 and 6 seconds. If a car did not meet this criteria, it is not eligable for comparison. A Mercedes E550 was selected because a Mercedes E350 exceeds 6 seconds to accelerate to 60 Miles Per Hour. Marginal Value is placed  on brand or claims for more ellusive performance measures such as quietness, et al. </a:t>
          </a:r>
        </a:p>
        <a:p>
          <a:endParaRPr lang="en-US" sz="1100" b="0" i="0" baseline="0">
            <a:solidFill>
              <a:sysClr val="windowText" lastClr="000000"/>
            </a:solidFill>
            <a:latin typeface="+mn-lt"/>
            <a:ea typeface="+mn-ea"/>
            <a:cs typeface="+mn-cs"/>
          </a:endParaRPr>
        </a:p>
        <a:p>
          <a:r>
            <a:rPr lang="en-US" sz="1100" b="0" i="0" baseline="0">
              <a:solidFill>
                <a:sysClr val="windowText" lastClr="000000"/>
              </a:solidFill>
              <a:latin typeface="+mn-lt"/>
              <a:ea typeface="+mn-ea"/>
              <a:cs typeface="+mn-cs"/>
            </a:rPr>
            <a:t>(4) American Consumers Are Eligable for a $7500 Tax Credit. To the knowledge of this author, no such Tax Credit exists in South Korea, and thus the cost of the Model S was recalculated to its original price, although a tax credit would significantly lower the price.  </a:t>
          </a:r>
        </a:p>
        <a:p>
          <a:endParaRPr lang="en-US" sz="1100" b="0" i="0" baseline="0">
            <a:solidFill>
              <a:sysClr val="windowText" lastClr="000000"/>
            </a:solidFill>
            <a:latin typeface="+mn-lt"/>
            <a:ea typeface="+mn-ea"/>
            <a:cs typeface="+mn-cs"/>
          </a:endParaRPr>
        </a:p>
        <a:p>
          <a:r>
            <a:rPr lang="en-US" sz="1100" b="0" i="0" baseline="0">
              <a:solidFill>
                <a:sysClr val="windowText" lastClr="000000"/>
              </a:solidFill>
              <a:latin typeface="+mn-lt"/>
              <a:ea typeface="+mn-ea"/>
              <a:cs typeface="+mn-cs"/>
            </a:rPr>
            <a:t>(5) 70 kWh and 95 kWh battery equiped TEsla Model S prices were recaculated by adding  $500 per kilowatt hour from the 42 kWh base price</a:t>
          </a:r>
        </a:p>
        <a:p>
          <a:endParaRPr lang="en-US" sz="1100" b="0" i="0" baseline="0">
            <a:solidFill>
              <a:sysClr val="windowText" lastClr="000000"/>
            </a:solidFill>
            <a:latin typeface="+mn-lt"/>
            <a:ea typeface="+mn-ea"/>
            <a:cs typeface="+mn-cs"/>
          </a:endParaRPr>
        </a:p>
        <a:p>
          <a:r>
            <a:rPr lang="en-US" sz="1100" b="0" i="0" baseline="0">
              <a:solidFill>
                <a:sysClr val="windowText" lastClr="000000"/>
              </a:solidFill>
              <a:latin typeface="+mn-lt"/>
              <a:ea typeface="+mn-ea"/>
              <a:cs typeface="+mn-cs"/>
            </a:rPr>
            <a:t>(4) Electric Vehicles are Considered to have no maintence costs other than battery replacement costs, albeit this is not fully accurate. On the other hand, it is well recognized that Electric Vehicles have very little maintance costs compared to gasoline vehicles because they lack many moving parts. Maintenance costs are assumed for gasoline vehicles to reflect midsize cars and are assumed to be held constant over time and across similar size cars regardless of the brand or model. </a:t>
          </a:r>
        </a:p>
        <a:p>
          <a:endParaRPr lang="en-US" sz="1100" b="0" i="0" baseline="0">
            <a:solidFill>
              <a:sysClr val="windowText" lastClr="000000"/>
            </a:solidFill>
            <a:latin typeface="+mn-lt"/>
            <a:ea typeface="+mn-ea"/>
            <a:cs typeface="+mn-cs"/>
          </a:endParaRPr>
        </a:p>
        <a:p>
          <a:r>
            <a:rPr lang="en-US" sz="1100" b="0" i="0" baseline="0">
              <a:solidFill>
                <a:sysClr val="windowText" lastClr="000000"/>
              </a:solidFill>
              <a:latin typeface="+mn-lt"/>
              <a:ea typeface="+mn-ea"/>
              <a:cs typeface="+mn-cs"/>
            </a:rPr>
            <a:t>(5) According to Tesla Statments in the Media, their Roadster Battery Can Last 5 to 7 Years. Assuming a driver were to communte 20,000 miles per year, this leads one to conclude the battery can last at least to 100,000 miles; thus, we assume that EV maintenace costs per mile = battery cost / 100,000 miles. </a:t>
          </a:r>
        </a:p>
        <a:p>
          <a:endParaRPr lang="en-US" sz="1100" b="0" i="0" baseline="0">
            <a:solidFill>
              <a:sysClr val="windowText" lastClr="000000"/>
            </a:solidFill>
            <a:latin typeface="+mn-lt"/>
            <a:ea typeface="+mn-ea"/>
            <a:cs typeface="+mn-cs"/>
          </a:endParaRPr>
        </a:p>
        <a:p>
          <a:r>
            <a:rPr lang="en-US" sz="1100" b="0" i="0" baseline="0">
              <a:solidFill>
                <a:sysClr val="windowText" lastClr="000000"/>
              </a:solidFill>
              <a:latin typeface="+mn-lt"/>
              <a:ea typeface="+mn-ea"/>
              <a:cs typeface="+mn-cs"/>
            </a:rPr>
            <a:t>(6) Deprecitation, Financing, and other factors are not considered in this model when calculating cost per mile, although the variance should not be significant enough to undermine the intent of this model: to show the savings incured from not using gasoline driven models in Korea, and to show that battery costs are low enough to make EVs economical in the case of Tesla Motors. </a:t>
          </a:r>
        </a:p>
        <a:p>
          <a:endParaRPr lang="en-US" sz="1100" b="0" i="0" baseline="0">
            <a:solidFill>
              <a:sysClr val="windowText" lastClr="000000"/>
            </a:solidFill>
            <a:latin typeface="+mn-lt"/>
            <a:ea typeface="+mn-ea"/>
            <a:cs typeface="+mn-cs"/>
          </a:endParaRPr>
        </a:p>
        <a:p>
          <a:r>
            <a:rPr lang="en-US" sz="1100" b="0" i="0" baseline="0">
              <a:solidFill>
                <a:sysClr val="windowText" lastClr="000000"/>
              </a:solidFill>
              <a:latin typeface="+mn-lt"/>
              <a:ea typeface="+mn-ea"/>
              <a:cs typeface="+mn-cs"/>
            </a:rPr>
            <a:t>(7) To calculate the share of electricity costs to gasoline costs for the Fisker Nina PHEV, we are required to assume it will have the same specifications as the Fisker Karma since no information is yet published on this lowe priced model. Fisker repleased that the vehicle can drive 50 miles on electricity only and 300 miles today, making the gasoline tank alone capable of taking the vehicle 205 miles.  We assume that the average person drives 40 miles per day, and so we divide 300/40 to get total drivable days.  We then divide the 50 EV mile range by total drivable days to get how many miles per day were used for electricity.  We then divide gas tank range by total drivable days to get miles per day used on gasoline only. We then divide miles driven per day on electricity by miles drive per day on gasoline. This gives us the percentage share of costs from electricity and gasoline: 20% electricity adn 80% gasoline.  To calculate costs, we divide miles per gallon efficiency by price per  gallon of gasoline, then multiple by .80. We complete the same process for electricity and kwh costs, but instead we multiple by .20. Then we add both results together to get the final fuel costs per mile for a PHEV. </a:t>
          </a:r>
          <a:endParaRPr lang="en-US" sz="1100">
            <a:solidFill>
              <a:sysClr val="windowText" lastClr="000000"/>
            </a:solidFill>
          </a:endParaRPr>
        </a:p>
      </xdr:txBody>
    </xdr:sp>
    <xdr:clientData/>
  </xdr:twoCellAnchor>
  <xdr:twoCellAnchor>
    <xdr:from>
      <xdr:col>8</xdr:col>
      <xdr:colOff>238125</xdr:colOff>
      <xdr:row>14</xdr:row>
      <xdr:rowOff>142876</xdr:rowOff>
    </xdr:from>
    <xdr:to>
      <xdr:col>16</xdr:col>
      <xdr:colOff>1095375</xdr:colOff>
      <xdr:row>21</xdr:row>
      <xdr:rowOff>19050</xdr:rowOff>
    </xdr:to>
    <xdr:sp macro="" textlink="">
      <xdr:nvSpPr>
        <xdr:cNvPr id="4" name="직사각형 3"/>
        <xdr:cNvSpPr/>
      </xdr:nvSpPr>
      <xdr:spPr>
        <a:xfrm>
          <a:off x="5114925" y="2847976"/>
          <a:ext cx="14611350" cy="1228724"/>
        </a:xfrm>
        <a:prstGeom prst="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91440" tIns="0" rIns="91440" bIns="91440" rtlCol="0" anchor="t"/>
        <a:lstStyle/>
        <a:p>
          <a:endParaRPr lang="en-US" sz="1100">
            <a:solidFill>
              <a:sysClr val="windowText" lastClr="000000"/>
            </a:solidFill>
            <a:latin typeface="+mn-lt"/>
            <a:ea typeface="+mn-ea"/>
            <a:cs typeface="+mn-cs"/>
          </a:endParaRPr>
        </a:p>
        <a:p>
          <a:r>
            <a:rPr lang="en-US" sz="1100" b="0" i="0" baseline="0">
              <a:solidFill>
                <a:sysClr val="windowText" lastClr="000000"/>
              </a:solidFill>
              <a:latin typeface="+mn-lt"/>
              <a:ea typeface="+mn-ea"/>
              <a:cs typeface="+mn-cs"/>
            </a:rPr>
            <a:t> Maintenance Per Mile Costs are derived from a report published by the Victoria Transport Policy Instittute: "</a:t>
          </a:r>
          <a:r>
            <a:rPr lang="en-US" sz="1100" i="1" baseline="0" smtClean="0">
              <a:solidFill>
                <a:sysClr val="windowText" lastClr="000000"/>
              </a:solidFill>
              <a:latin typeface="+mn-lt"/>
              <a:ea typeface="+mn-ea"/>
              <a:cs typeface="+mn-cs"/>
            </a:rPr>
            <a:t>Transportation Cost and Benefit Analysis II – Vehicle Costs" </a:t>
          </a:r>
          <a:r>
            <a:rPr lang="en-US" sz="1100" b="0" i="0" baseline="0">
              <a:solidFill>
                <a:sysClr val="windowText" lastClr="000000"/>
              </a:solidFill>
              <a:latin typeface="+mn-lt"/>
              <a:ea typeface="+mn-ea"/>
              <a:cs typeface="+mn-cs"/>
            </a:rPr>
            <a:t>. Tires Per Mile Costs are derived from  the cost of Michelin Pilot Sport PS2, assuming they  have to be replaced every 50,000 miles; a car owned for 100,000 would require the owner to purchase new tires on only one occasion. Performance tires were selected due to  the high-end, high-performance nature, of the sample vehicles. Vehicles were grouped by class and by 0-60 performance within a 1 second upper and lower limit of 5 to 6 seconds. Maintenance costs for electric vehicles were substituted with battery replacement costs . Battery costs are derived from A123 market projections since battery will be replaced in the future, and not at present per kWh prices. This study does not control for the possibility that an electric car may have an additional cost per mile for maintance than the battery. </a:t>
          </a:r>
          <a:endParaRPr lang="en-US" sz="1100" b="0" i="0">
            <a:solidFill>
              <a:sysClr val="windowText" lastClr="000000"/>
            </a:solidFill>
            <a:latin typeface="+mn-lt"/>
            <a:ea typeface="+mn-ea"/>
            <a:cs typeface="+mn-cs"/>
          </a:endParaRPr>
        </a:p>
      </xdr:txBody>
    </xdr:sp>
    <xdr:clientData/>
  </xdr:twoCellAnchor>
  <xdr:twoCellAnchor>
    <xdr:from>
      <xdr:col>10</xdr:col>
      <xdr:colOff>571499</xdr:colOff>
      <xdr:row>42</xdr:row>
      <xdr:rowOff>85725</xdr:rowOff>
    </xdr:from>
    <xdr:to>
      <xdr:col>17</xdr:col>
      <xdr:colOff>914400</xdr:colOff>
      <xdr:row>72</xdr:row>
      <xdr:rowOff>76200</xdr:rowOff>
    </xdr:to>
    <xdr:graphicFrame macro="">
      <xdr:nvGraphicFramePr>
        <xdr:cNvPr id="7" name="차트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1162050</xdr:colOff>
      <xdr:row>48</xdr:row>
      <xdr:rowOff>85725</xdr:rowOff>
    </xdr:from>
    <xdr:to>
      <xdr:col>17</xdr:col>
      <xdr:colOff>1304925</xdr:colOff>
      <xdr:row>48</xdr:row>
      <xdr:rowOff>180975</xdr:rowOff>
    </xdr:to>
    <xdr:sp macro="" textlink="">
      <xdr:nvSpPr>
        <xdr:cNvPr id="10" name="Oval 9"/>
        <xdr:cNvSpPr/>
      </xdr:nvSpPr>
      <xdr:spPr>
        <a:xfrm>
          <a:off x="20916900" y="9915525"/>
          <a:ext cx="142875" cy="95250"/>
        </a:xfrm>
        <a:prstGeom prst="ellipse">
          <a:avLst/>
        </a:prstGeom>
        <a:solidFill>
          <a:schemeClr val="accent2">
            <a:lumMod val="60000"/>
            <a:lumOff val="40000"/>
            <a:alpha val="56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oneCellAnchor>
    <xdr:from>
      <xdr:col>15</xdr:col>
      <xdr:colOff>419100</xdr:colOff>
      <xdr:row>60</xdr:row>
      <xdr:rowOff>9525</xdr:rowOff>
    </xdr:from>
    <xdr:ext cx="561244" cy="248851"/>
    <xdr:sp macro="" textlink="">
      <xdr:nvSpPr>
        <xdr:cNvPr id="11" name="TextBox 10"/>
        <xdr:cNvSpPr txBox="1"/>
      </xdr:nvSpPr>
      <xdr:spPr>
        <a:xfrm>
          <a:off x="16259175" y="12125325"/>
          <a:ext cx="56124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t>2 Years</a:t>
          </a:r>
        </a:p>
      </xdr:txBody>
    </xdr:sp>
    <xdr:clientData/>
  </xdr:oneCellAnchor>
  <xdr:oneCellAnchor>
    <xdr:from>
      <xdr:col>16</xdr:col>
      <xdr:colOff>228600</xdr:colOff>
      <xdr:row>60</xdr:row>
      <xdr:rowOff>19050</xdr:rowOff>
    </xdr:from>
    <xdr:ext cx="561244" cy="248851"/>
    <xdr:sp macro="" textlink="">
      <xdr:nvSpPr>
        <xdr:cNvPr id="15" name="TextBox 14"/>
        <xdr:cNvSpPr txBox="1"/>
      </xdr:nvSpPr>
      <xdr:spPr>
        <a:xfrm>
          <a:off x="18392775" y="12134850"/>
          <a:ext cx="56124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t>3 Years</a:t>
          </a:r>
        </a:p>
      </xdr:txBody>
    </xdr:sp>
    <xdr:clientData/>
  </xdr:oneCellAnchor>
  <xdr:oneCellAnchor>
    <xdr:from>
      <xdr:col>16</xdr:col>
      <xdr:colOff>1419225</xdr:colOff>
      <xdr:row>60</xdr:row>
      <xdr:rowOff>9525</xdr:rowOff>
    </xdr:from>
    <xdr:ext cx="561244" cy="248851"/>
    <xdr:sp macro="" textlink="">
      <xdr:nvSpPr>
        <xdr:cNvPr id="16" name="TextBox 15"/>
        <xdr:cNvSpPr txBox="1"/>
      </xdr:nvSpPr>
      <xdr:spPr>
        <a:xfrm>
          <a:off x="19583400" y="12125325"/>
          <a:ext cx="56124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t>4 Years</a:t>
          </a:r>
        </a:p>
      </xdr:txBody>
    </xdr:sp>
    <xdr:clientData/>
  </xdr:oneCellAnchor>
  <xdr:oneCellAnchor>
    <xdr:from>
      <xdr:col>17</xdr:col>
      <xdr:colOff>1133475</xdr:colOff>
      <xdr:row>59</xdr:row>
      <xdr:rowOff>180975</xdr:rowOff>
    </xdr:from>
    <xdr:ext cx="561244" cy="248851"/>
    <xdr:sp macro="" textlink="">
      <xdr:nvSpPr>
        <xdr:cNvPr id="17" name="TextBox 16"/>
        <xdr:cNvSpPr txBox="1"/>
      </xdr:nvSpPr>
      <xdr:spPr>
        <a:xfrm>
          <a:off x="20888325" y="12106275"/>
          <a:ext cx="56124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t>5 Years</a:t>
          </a:r>
        </a:p>
      </xdr:txBody>
    </xdr:sp>
    <xdr:clientData/>
  </xdr:oneCellAnchor>
  <xdr:oneCellAnchor>
    <xdr:from>
      <xdr:col>14</xdr:col>
      <xdr:colOff>838200</xdr:colOff>
      <xdr:row>60</xdr:row>
      <xdr:rowOff>0</xdr:rowOff>
    </xdr:from>
    <xdr:ext cx="511102" cy="248851"/>
    <xdr:sp macro="" textlink="">
      <xdr:nvSpPr>
        <xdr:cNvPr id="18" name="TextBox 17"/>
        <xdr:cNvSpPr txBox="1"/>
      </xdr:nvSpPr>
      <xdr:spPr>
        <a:xfrm>
          <a:off x="15078075" y="12115800"/>
          <a:ext cx="51110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t>1 Year</a:t>
          </a:r>
        </a:p>
      </xdr:txBody>
    </xdr:sp>
    <xdr:clientData/>
  </xdr:oneCellAnchor>
  <xdr:twoCellAnchor>
    <xdr:from>
      <xdr:col>9</xdr:col>
      <xdr:colOff>647697</xdr:colOff>
      <xdr:row>115</xdr:row>
      <xdr:rowOff>104774</xdr:rowOff>
    </xdr:from>
    <xdr:to>
      <xdr:col>17</xdr:col>
      <xdr:colOff>295274</xdr:colOff>
      <xdr:row>152</xdr:row>
      <xdr:rowOff>85725</xdr:rowOff>
    </xdr:to>
    <xdr:graphicFrame macro="">
      <xdr:nvGraphicFramePr>
        <xdr:cNvPr id="26" name="차트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47624</xdr:colOff>
      <xdr:row>185</xdr:row>
      <xdr:rowOff>180974</xdr:rowOff>
    </xdr:from>
    <xdr:to>
      <xdr:col>22</xdr:col>
      <xdr:colOff>714374</xdr:colOff>
      <xdr:row>227</xdr:row>
      <xdr:rowOff>0</xdr:rowOff>
    </xdr:to>
    <xdr:graphicFrame macro="">
      <xdr:nvGraphicFramePr>
        <xdr:cNvPr id="12" name="차트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952500</xdr:colOff>
      <xdr:row>73</xdr:row>
      <xdr:rowOff>180975</xdr:rowOff>
    </xdr:from>
    <xdr:to>
      <xdr:col>39</xdr:col>
      <xdr:colOff>409575</xdr:colOff>
      <xdr:row>91</xdr:row>
      <xdr:rowOff>38100</xdr:rowOff>
    </xdr:to>
    <xdr:graphicFrame macro="">
      <xdr:nvGraphicFramePr>
        <xdr:cNvPr id="20" name="차트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39</xdr:col>
      <xdr:colOff>857250</xdr:colOff>
      <xdr:row>74</xdr:row>
      <xdr:rowOff>104775</xdr:rowOff>
    </xdr:from>
    <xdr:to>
      <xdr:col>46</xdr:col>
      <xdr:colOff>190500</xdr:colOff>
      <xdr:row>91</xdr:row>
      <xdr:rowOff>171450</xdr:rowOff>
    </xdr:to>
    <xdr:graphicFrame macro="">
      <xdr:nvGraphicFramePr>
        <xdr:cNvPr id="19" name="차트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9525</xdr:colOff>
      <xdr:row>31</xdr:row>
      <xdr:rowOff>114300</xdr:rowOff>
    </xdr:from>
    <xdr:to>
      <xdr:col>33</xdr:col>
      <xdr:colOff>752475</xdr:colOff>
      <xdr:row>48</xdr:row>
      <xdr:rowOff>161925</xdr:rowOff>
    </xdr:to>
    <xdr:graphicFrame macro="">
      <xdr:nvGraphicFramePr>
        <xdr:cNvPr id="21" name="차트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34</xdr:col>
      <xdr:colOff>228600</xdr:colOff>
      <xdr:row>32</xdr:row>
      <xdr:rowOff>161925</xdr:rowOff>
    </xdr:from>
    <xdr:to>
      <xdr:col>40</xdr:col>
      <xdr:colOff>828675</xdr:colOff>
      <xdr:row>50</xdr:row>
      <xdr:rowOff>38100</xdr:rowOff>
    </xdr:to>
    <xdr:graphicFrame macro="">
      <xdr:nvGraphicFramePr>
        <xdr:cNvPr id="22" name="차트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1543050</xdr:colOff>
      <xdr:row>61</xdr:row>
      <xdr:rowOff>152400</xdr:rowOff>
    </xdr:from>
    <xdr:to>
      <xdr:col>17</xdr:col>
      <xdr:colOff>9525</xdr:colOff>
      <xdr:row>69</xdr:row>
      <xdr:rowOff>47625</xdr:rowOff>
    </xdr:to>
    <xdr:sp macro="" textlink="">
      <xdr:nvSpPr>
        <xdr:cNvPr id="2" name="직사각형 1"/>
        <xdr:cNvSpPr/>
      </xdr:nvSpPr>
      <xdr:spPr>
        <a:xfrm>
          <a:off x="16002000" y="11982450"/>
          <a:ext cx="6334125" cy="141922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2008</a:t>
          </a:r>
          <a:r>
            <a:rPr lang="en-US" sz="1100" baseline="0">
              <a:solidFill>
                <a:sysClr val="windowText" lastClr="000000"/>
              </a:solidFill>
            </a:rPr>
            <a:t> Fuel used for transport data is taken from the Korean Ministery of Knowledge Economy published 2009 Yearbook of Energy Statistics, Hardcopy only! Without 2009 data, figures for 2009 are determined by deriving share of total used for transportation from 2008, and then using this share to divide this number by the total in 2009.</a:t>
          </a:r>
        </a:p>
        <a:p>
          <a:pPr algn="ctr"/>
          <a:endParaRPr lang="en-US" sz="1100" baseline="0">
            <a:solidFill>
              <a:sysClr val="windowText" lastClr="000000"/>
            </a:solidFill>
          </a:endParaRPr>
        </a:p>
        <a:p>
          <a:pPr algn="ctr"/>
          <a:r>
            <a:rPr lang="en-US" sz="1100" baseline="0">
              <a:solidFill>
                <a:sysClr val="windowText" lastClr="000000"/>
              </a:solidFill>
            </a:rPr>
            <a:t>Much more money was spent on fuel in 2008 because oil prices were much higher at that time period than in 2009</a:t>
          </a:r>
        </a:p>
        <a:p>
          <a:pPr algn="ctr"/>
          <a:endParaRPr lang="en-US" sz="1100" baseline="0">
            <a:solidFill>
              <a:sysClr val="windowText" lastClr="000000"/>
            </a:solidFill>
          </a:endParaRPr>
        </a:p>
        <a:p>
          <a:pPr algn="ctr"/>
          <a:r>
            <a:rPr lang="en-US" sz="1100" baseline="0">
              <a:solidFill>
                <a:sysClr val="windowText" lastClr="000000"/>
              </a:solidFill>
            </a:rPr>
            <a:t>Koreans drove 110,664,960 miles in 2009. (estimated if Vehicles operate at 25 MPG)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380999</xdr:colOff>
      <xdr:row>11</xdr:row>
      <xdr:rowOff>57149</xdr:rowOff>
    </xdr:from>
    <xdr:to>
      <xdr:col>21</xdr:col>
      <xdr:colOff>66675</xdr:colOff>
      <xdr:row>25</xdr:row>
      <xdr:rowOff>152400</xdr:rowOff>
    </xdr:to>
    <xdr:graphicFrame macro="">
      <xdr:nvGraphicFramePr>
        <xdr:cNvPr id="3" name="차트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428624</xdr:colOff>
      <xdr:row>26</xdr:row>
      <xdr:rowOff>180976</xdr:rowOff>
    </xdr:from>
    <xdr:to>
      <xdr:col>21</xdr:col>
      <xdr:colOff>57150</xdr:colOff>
      <xdr:row>42</xdr:row>
      <xdr:rowOff>171452</xdr:rowOff>
    </xdr:to>
    <xdr:graphicFrame macro="">
      <xdr:nvGraphicFramePr>
        <xdr:cNvPr id="4" name="차트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46" Type="http://schemas.openxmlformats.org/officeDocument/2006/relationships/hyperlink" Target="http://www.apteraforum.com/showthread.php?t=4236" TargetMode="External"/><Relationship Id="rId47" Type="http://schemas.openxmlformats.org/officeDocument/2006/relationships/drawing" Target="../drawings/drawing1.xml"/><Relationship Id="rId20" Type="http://schemas.openxmlformats.org/officeDocument/2006/relationships/hyperlink" Target="http://www.toyota.com/prius-hybrid/specs.html" TargetMode="External"/><Relationship Id="rId21" Type="http://schemas.openxmlformats.org/officeDocument/2006/relationships/hyperlink" Target="http://www.mbusa.com/mercedes/vehicles/explore/specs/class-C/model-C300WZ" TargetMode="External"/><Relationship Id="rId22" Type="http://schemas.openxmlformats.org/officeDocument/2006/relationships/hyperlink" Target="http://www.bmwusa.com/Standard/Content/Vehicles/2011/3/328iSedan/Features_and_Specs/328iSedanSpecifications.aspx" TargetMode="External"/><Relationship Id="rId23" Type="http://schemas.openxmlformats.org/officeDocument/2006/relationships/hyperlink" Target="http://www.fueleconomy.gov/feg/sbs.htm" TargetMode="External"/><Relationship Id="rId24" Type="http://schemas.openxmlformats.org/officeDocument/2006/relationships/hyperlink" Target="http://www.audiusa.com/us/brand/en/models/a4_sedan/features_and_specifications/specifications_table.html" TargetMode="External"/><Relationship Id="rId25" Type="http://schemas.openxmlformats.org/officeDocument/2006/relationships/hyperlink" Target="http://www.hyundaiusa.com/azera/specifications.aspx" TargetMode="External"/><Relationship Id="rId26" Type="http://schemas.openxmlformats.org/officeDocument/2006/relationships/hyperlink" Target="http://www.automobile.com/2011-hyundai-azera-review.html" TargetMode="External"/><Relationship Id="rId27" Type="http://schemas.openxmlformats.org/officeDocument/2006/relationships/hyperlink" Target="http://fiskerbuzz.com/forums/Thread-Tesla-to-challenge-Fisker-Nina-range" TargetMode="External"/><Relationship Id="rId28" Type="http://schemas.openxmlformats.org/officeDocument/2006/relationships/hyperlink" Target="http://blogs.edmunds.com/greencaradvisor/2010/05/production-of-fisker-karma-phev-now-delayed-until-february-2011-investor-says.html" TargetMode="External"/><Relationship Id="rId29" Type="http://schemas.openxmlformats.org/officeDocument/2006/relationships/hyperlink" Target="http://electric-vehicles-cars-bikes.blogspot.com/2010/01/fisker-karma-to-use-a123-batteries.html" TargetMode="External"/><Relationship Id="rId1" Type="http://schemas.openxmlformats.org/officeDocument/2006/relationships/hyperlink" Target="http://www.hyundaiusa.com/build-your-hyundai/?vehicle=genesis&amp;year=2010" TargetMode="External"/><Relationship Id="rId2" Type="http://schemas.openxmlformats.org/officeDocument/2006/relationships/hyperlink" Target="http://www.audiusa.com/us/brand/en/models/a6_sedan/features_and_specifications/specifications_table.html" TargetMode="External"/><Relationship Id="rId3" Type="http://schemas.openxmlformats.org/officeDocument/2006/relationships/hyperlink" Target="http://www.teslamotors.com/models/" TargetMode="External"/><Relationship Id="rId4" Type="http://schemas.openxmlformats.org/officeDocument/2006/relationships/hyperlink" Target="http://www.mbusa.com/mercedes/" TargetMode="External"/><Relationship Id="rId5" Type="http://schemas.openxmlformats.org/officeDocument/2006/relationships/hyperlink" Target="http://en.wikipedia.org/wiki/Tesla_Roadster" TargetMode="External"/><Relationship Id="rId30" Type="http://schemas.openxmlformats.org/officeDocument/2006/relationships/hyperlink" Target="http://green.autoblog.com/tag/lithium+ion+batteries/" TargetMode="External"/><Relationship Id="rId31" Type="http://schemas.openxmlformats.org/officeDocument/2006/relationships/hyperlink" Target="http://industry.bnet.com/auto/10003357/fisker-switches-to-batteries-from-a123-which-also-makes-an-investment/" TargetMode="External"/><Relationship Id="rId32" Type="http://schemas.openxmlformats.org/officeDocument/2006/relationships/hyperlink" Target="http://en.wikipedia.org/wiki/Fisker_Automotive" TargetMode="External"/><Relationship Id="rId9" Type="http://schemas.openxmlformats.org/officeDocument/2006/relationships/hyperlink" Target="http://blogs.edmunds.com/greencaradvisor/2009/02/tesla-battery-pack-replacement-would-be-36000-today-musk-says.html" TargetMode="External"/><Relationship Id="rId6" Type="http://schemas.openxmlformats.org/officeDocument/2006/relationships/hyperlink" Target="http://wheels.blogs.nytimes.com/2009/08/25/tesla-model-s-one-whopper-of-a-battery-pack/" TargetMode="External"/><Relationship Id="rId7" Type="http://schemas.openxmlformats.org/officeDocument/2006/relationships/hyperlink" Target="https://www.teslamotors.com/display_data.php?data_name=Battery_Replacement" TargetMode="External"/><Relationship Id="rId8" Type="http://schemas.openxmlformats.org/officeDocument/2006/relationships/hyperlink" Target="http://consumerguideauto.howstuffworks.com/2012-tesla-model-s.htm" TargetMode="External"/><Relationship Id="rId33" Type="http://schemas.openxmlformats.org/officeDocument/2006/relationships/hyperlink" Target="http://www.greencarreports.com/blog/1042992_geneva-motor-show-preview-2011-fisker-karma-space-frame" TargetMode="External"/><Relationship Id="rId34" Type="http://schemas.openxmlformats.org/officeDocument/2006/relationships/hyperlink" Target="http://www.detnews.com/article/20100414/AUTO01/4140347/1148/New-federal-fuel-rules-lead-SAE-agenda" TargetMode="External"/><Relationship Id="rId35" Type="http://schemas.openxmlformats.org/officeDocument/2006/relationships/hyperlink" Target="http://blogs.edmunds.com/greencaradvisor/2009/03/tesla-model-s-unveiled-a-great-concept-but-now-the-wait-begins.html" TargetMode="External"/><Relationship Id="rId36" Type="http://schemas.openxmlformats.org/officeDocument/2006/relationships/hyperlink" Target="http://www.autospies.com/news/Tesla-Mode-S-might-receive-95-kWh-battery-pack-47311/" TargetMode="External"/><Relationship Id="rId10" Type="http://schemas.openxmlformats.org/officeDocument/2006/relationships/hyperlink" Target="http://www.vtpi.org/tca/tca0501.pdf" TargetMode="External"/><Relationship Id="rId11" Type="http://schemas.openxmlformats.org/officeDocument/2006/relationships/hyperlink" Target="http://en.wikipedia.org/wiki/Tesla_Model_S" TargetMode="External"/><Relationship Id="rId12" Type="http://schemas.openxmlformats.org/officeDocument/2006/relationships/hyperlink" Target="http://www.aaaexchange.com/Assets/Files/20084141552360.DrivingCosts2008.pdf" TargetMode="External"/><Relationship Id="rId13" Type="http://schemas.openxmlformats.org/officeDocument/2006/relationships/hyperlink" Target="http://www.mpgfacts.com/?did=367&amp;year=2010" TargetMode="External"/><Relationship Id="rId14" Type="http://schemas.openxmlformats.org/officeDocument/2006/relationships/hyperlink" Target="http://www.mpgfacts.com/?did=445&amp;year=2010" TargetMode="External"/><Relationship Id="rId15" Type="http://schemas.openxmlformats.org/officeDocument/2006/relationships/hyperlink" Target="http://www.autoguide.com/manufacturer/audi/2010-audi-a6-30t-review-1214.html" TargetMode="External"/><Relationship Id="rId16" Type="http://schemas.openxmlformats.org/officeDocument/2006/relationships/hyperlink" Target="http://www.mpgfacts.com/?r=g&amp;make=Hyundai&amp;year=2010" TargetMode="External"/><Relationship Id="rId17" Type="http://schemas.openxmlformats.org/officeDocument/2006/relationships/hyperlink" Target="http://www.insideline.com/mercedes-benz/e-class/2010/2010-mercedes-benz-e550-full-test-and-video.html" TargetMode="External"/><Relationship Id="rId18" Type="http://schemas.openxmlformats.org/officeDocument/2006/relationships/hyperlink" Target="http://www.edmunds.com/hyundai/azera/2010/review.html" TargetMode="External"/><Relationship Id="rId19" Type="http://schemas.openxmlformats.org/officeDocument/2006/relationships/hyperlink" Target="http://hyundaicanada.com/pages/showroom/showroom.aspx?model=Genesis" TargetMode="External"/><Relationship Id="rId37" Type="http://schemas.openxmlformats.org/officeDocument/2006/relationships/hyperlink" Target="http://www.detnews.com/article/20100414/AUTO01/4140347/1148/New-federal-fuel-rules-lead-SAE-agenda" TargetMode="External"/><Relationship Id="rId38" Type="http://schemas.openxmlformats.org/officeDocument/2006/relationships/hyperlink" Target="http://gas2.org/2010/05/05/report-nissan-leafs-battery-costs-a-staggeringly-cheap-375kwh-to-produce/" TargetMode="External"/><Relationship Id="rId39" Type="http://schemas.openxmlformats.org/officeDocument/2006/relationships/hyperlink" Target="http://www.edmunds.com/ownership/howto/articles/43785/article.html" TargetMode="External"/><Relationship Id="rId40" Type="http://schemas.openxmlformats.org/officeDocument/2006/relationships/hyperlink" Target="http://teslaowner.wordpress.com/2010/03/01/yearly-maintenance/" TargetMode="External"/><Relationship Id="rId41" Type="http://schemas.openxmlformats.org/officeDocument/2006/relationships/hyperlink" Target="http://www.edmunds.com/ownership/maintenance/articles/161086/article.html" TargetMode="External"/><Relationship Id="rId42" Type="http://schemas.openxmlformats.org/officeDocument/2006/relationships/hyperlink" Target="http://www.commutesolutions.org/pdf/TCOD/AAADrivingCosts2009.pdf" TargetMode="External"/><Relationship Id="rId43" Type="http://schemas.openxmlformats.org/officeDocument/2006/relationships/hyperlink" Target="http://www.commutesolutions.org/pdf/TCOD/AAADrivingCosts2009.pdf" TargetMode="External"/><Relationship Id="rId44" Type="http://schemas.openxmlformats.org/officeDocument/2006/relationships/hyperlink" Target="http://evauthority.com/the-tesla-battery-pack-challenge/" TargetMode="External"/><Relationship Id="rId45" Type="http://schemas.openxmlformats.org/officeDocument/2006/relationships/hyperlink" Target="http://www.montereyherald.com/ci_15490651?source=most_viewed&amp;nclick_check=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kama.or.kr/eng/R&amp;s/Rsoften_e?key=KEEP&amp;cmd=USERDETAIL&amp;ymGb=month&amp;rsyear=2004" TargetMode="External"/><Relationship Id="rId4" Type="http://schemas.openxmlformats.org/officeDocument/2006/relationships/hyperlink" Target="https://www.kama.or.kr/eng/R&amp;s/Rsoften_e?key=KEEP&amp;cmd=USERDETAIL&amp;ymGb=month&amp;rsyear=2003" TargetMode="External"/><Relationship Id="rId5" Type="http://schemas.openxmlformats.org/officeDocument/2006/relationships/hyperlink" Target="http://www.kama.or.kr/" TargetMode="External"/><Relationship Id="rId6" Type="http://schemas.openxmlformats.org/officeDocument/2006/relationships/hyperlink" Target="https://www.kama.or.kr/eng/R&amp;s/Rsoften_e?key=KEEP&amp;cmd=USERDETAIL&amp;ymGb=month&amp;rsyear=2006" TargetMode="External"/><Relationship Id="rId7" Type="http://schemas.openxmlformats.org/officeDocument/2006/relationships/hyperlink" Target="https://www.kama.or.kr/eng/R&amp;s/Rsoften_e?key=KEEP&amp;cmd=USERDETAIL&amp;ymGb=month&amp;rsyear=2007" TargetMode="External"/><Relationship Id="rId8" Type="http://schemas.openxmlformats.org/officeDocument/2006/relationships/hyperlink" Target="https://www.kama.or.kr/eng/R&amp;s/Rsoften_e?key=KEEP&amp;cmd=USERDETAIL&amp;ymGb=month&amp;rsyear=2008" TargetMode="External"/><Relationship Id="rId9" Type="http://schemas.openxmlformats.org/officeDocument/2006/relationships/hyperlink" Target="https://www.kama.or.kr/eng/R&amp;s/Rsoften_e?key=KEEP&amp;cmd=USERDETAIL&amp;ymGb=month&amp;rsyear=2009" TargetMode="External"/><Relationship Id="rId10" Type="http://schemas.openxmlformats.org/officeDocument/2006/relationships/hyperlink" Target="https://www.kama.or.kr/eng/R&amp;s/Rsoften_e?key=KEEP&amp;cmd=USERDETAIL&amp;ymGb=month&amp;rsyear=2010" TargetMode="External"/><Relationship Id="rId11" Type="http://schemas.openxmlformats.org/officeDocument/2006/relationships/hyperlink" Target="https://www.kama.or.kr/eng/R&amp;s/Rsoften_e?key=KEEP&amp;cmd=USERDETAIL&amp;ymGb=month&amp;rsyear=2010" TargetMode="External"/><Relationship Id="rId1" Type="http://schemas.openxmlformats.org/officeDocument/2006/relationships/hyperlink" Target="http://steps.ucdavis.edu/People/bdjungers/Plug-In%20Hybrid%20Electric%20Vehicles%20-%20Promise,%20Issues,%20and%20Prospects.pdf" TargetMode="External"/><Relationship Id="rId2" Type="http://schemas.openxmlformats.org/officeDocument/2006/relationships/hyperlink" Target="https://www.kama.or.kr/eng/R&amp;s/Rsoften_e?key=KEEP&amp;cmd=USERDETAIL&amp;ymGb=month&amp;rsyear=200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eei.org/ourissues/electricitydistribution/Documents/UnderVSOver.pdf" TargetMode="External"/><Relationship Id="rId2" Type="http://schemas.openxmlformats.org/officeDocument/2006/relationships/hyperlink" Target="http://wiki.answers.com/Q/How_many_gas_stations_are_there_in_U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en.wikipedia.org/wiki/Tesla_Model_S" TargetMode="External"/><Relationship Id="rId4" Type="http://schemas.openxmlformats.org/officeDocument/2006/relationships/hyperlink" Target="http://steps.ucdavis.edu/People/bdjungers/Plug-In%20Hybrid%20Electric%20Vehicles%20-%20Promise,%20Issues,%20and%20Prospects.pdf" TargetMode="External"/><Relationship Id="rId5" Type="http://schemas.openxmlformats.org/officeDocument/2006/relationships/drawing" Target="../drawings/drawing2.xml"/><Relationship Id="rId1" Type="http://schemas.openxmlformats.org/officeDocument/2006/relationships/hyperlink" Target="http://www.rsportscars.com/tesla/2013-tesla-model-s/" TargetMode="External"/><Relationship Id="rId2" Type="http://schemas.openxmlformats.org/officeDocument/2006/relationships/hyperlink" Target="http://en.wikipedia.org/wiki/Automotive_industry"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whitehouse.gov/files/documents/Battery-and-Electric-Vehicle-Report-FINAL.pdf" TargetMode="External"/><Relationship Id="rId2" Type="http://schemas.openxmlformats.org/officeDocument/2006/relationships/hyperlink" Target="http://www.apteraforum.com/showthread.php?t=4236" TargetMode="External"/><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BA255"/>
  <sheetViews>
    <sheetView topLeftCell="L37" workbookViewId="0">
      <selection activeCell="AF25" sqref="AF25"/>
    </sheetView>
  </sheetViews>
  <sheetFormatPr baseColWidth="10" defaultColWidth="8.83203125" defaultRowHeight="14" x14ac:dyDescent="0"/>
  <cols>
    <col min="9" max="9" width="24.33203125" bestFit="1" customWidth="1"/>
    <col min="10" max="10" width="17.5" bestFit="1" customWidth="1"/>
    <col min="11" max="11" width="26.5" bestFit="1" customWidth="1"/>
    <col min="12" max="12" width="22.6640625" bestFit="1" customWidth="1"/>
    <col min="13" max="13" width="27.83203125" customWidth="1"/>
    <col min="14" max="14" width="26.33203125" customWidth="1"/>
    <col min="15" max="15" width="26.5" bestFit="1" customWidth="1"/>
    <col min="16" max="16" width="34.83203125" customWidth="1"/>
    <col min="17" max="17" width="23.83203125" customWidth="1"/>
    <col min="18" max="18" width="27.5" customWidth="1"/>
    <col min="19" max="19" width="9.1640625" hidden="1" customWidth="1"/>
    <col min="20" max="20" width="15.83203125" bestFit="1" customWidth="1"/>
    <col min="21" max="21" width="36.83203125" customWidth="1"/>
    <col min="22" max="22" width="18.33203125" customWidth="1"/>
    <col min="23" max="23" width="20.6640625" customWidth="1"/>
    <col min="24" max="24" width="16.1640625" bestFit="1" customWidth="1"/>
    <col min="25" max="25" width="22.6640625" bestFit="1" customWidth="1"/>
    <col min="26" max="26" width="6.5" style="231" customWidth="1"/>
    <col min="27" max="27" width="27.83203125" bestFit="1" customWidth="1"/>
    <col min="28" max="28" width="22.83203125" customWidth="1"/>
    <col min="29" max="29" width="20.5" bestFit="1" customWidth="1"/>
    <col min="30" max="46" width="19" customWidth="1"/>
    <col min="47" max="47" width="10.1640625" bestFit="1" customWidth="1"/>
  </cols>
  <sheetData>
    <row r="1" spans="9:47">
      <c r="R1" s="1" t="s">
        <v>393</v>
      </c>
    </row>
    <row r="2" spans="9:47">
      <c r="J2" t="s">
        <v>8</v>
      </c>
      <c r="K2" t="s">
        <v>9</v>
      </c>
      <c r="M2" t="s">
        <v>19</v>
      </c>
    </row>
    <row r="3" spans="9:47">
      <c r="I3" t="s">
        <v>61</v>
      </c>
      <c r="J3" t="s">
        <v>10</v>
      </c>
      <c r="K3" s="3">
        <v>0.1</v>
      </c>
      <c r="X3" s="84"/>
      <c r="AK3" s="221"/>
      <c r="AL3" s="9"/>
      <c r="AM3" s="9"/>
    </row>
    <row r="4" spans="9:47">
      <c r="I4" t="s">
        <v>61</v>
      </c>
      <c r="J4" t="s">
        <v>11</v>
      </c>
      <c r="K4" s="4">
        <v>5.33</v>
      </c>
      <c r="Z4" s="232"/>
      <c r="AA4" s="217"/>
      <c r="AC4" s="9"/>
      <c r="AD4" s="9"/>
      <c r="AE4" s="9"/>
      <c r="AF4" s="9"/>
    </row>
    <row r="5" spans="9:47">
      <c r="I5" t="s">
        <v>61</v>
      </c>
      <c r="J5" t="s">
        <v>11</v>
      </c>
      <c r="K5" s="4">
        <v>5.33</v>
      </c>
      <c r="P5" s="10"/>
      <c r="Z5" s="233"/>
      <c r="AA5" s="217"/>
      <c r="AD5" t="s">
        <v>430</v>
      </c>
      <c r="AE5" t="s">
        <v>430</v>
      </c>
      <c r="AF5" t="s">
        <v>430</v>
      </c>
      <c r="AG5" s="9"/>
    </row>
    <row r="6" spans="9:47">
      <c r="P6" s="10"/>
      <c r="Z6" s="233"/>
      <c r="AA6" s="217"/>
      <c r="AB6" s="9"/>
      <c r="AC6" s="9"/>
      <c r="AD6" t="s">
        <v>427</v>
      </c>
      <c r="AE6" t="s">
        <v>428</v>
      </c>
      <c r="AF6" t="s">
        <v>429</v>
      </c>
    </row>
    <row r="7" spans="9:47" ht="18" customHeight="1">
      <c r="I7" s="254" t="s">
        <v>391</v>
      </c>
      <c r="J7" s="255"/>
      <c r="K7" s="255"/>
      <c r="L7" s="255"/>
      <c r="M7" s="255"/>
      <c r="N7" s="255"/>
      <c r="O7" s="255"/>
      <c r="P7" s="255"/>
      <c r="Q7" s="256"/>
      <c r="W7" s="218"/>
      <c r="Y7" s="1"/>
      <c r="Z7" s="234"/>
      <c r="AA7" s="218"/>
      <c r="AC7" s="9"/>
      <c r="AD7" s="9"/>
      <c r="AE7" s="9"/>
      <c r="AF7" s="9"/>
    </row>
    <row r="8" spans="9:47">
      <c r="I8" s="183"/>
      <c r="J8" s="172" t="s">
        <v>57</v>
      </c>
      <c r="K8" s="183" t="s">
        <v>28</v>
      </c>
      <c r="L8" s="183" t="s">
        <v>58</v>
      </c>
      <c r="M8" s="183" t="s">
        <v>43</v>
      </c>
      <c r="N8" s="183" t="s">
        <v>44</v>
      </c>
      <c r="O8" s="183" t="s">
        <v>18</v>
      </c>
      <c r="P8" s="183" t="s">
        <v>22</v>
      </c>
      <c r="Q8" s="34"/>
      <c r="S8" t="s">
        <v>23</v>
      </c>
      <c r="V8" s="214"/>
      <c r="W8" s="214"/>
      <c r="X8" s="214"/>
      <c r="Y8" s="214"/>
      <c r="Z8" s="234"/>
      <c r="AA8" s="214"/>
      <c r="AB8" s="254" t="s">
        <v>438</v>
      </c>
      <c r="AC8" s="255"/>
      <c r="AD8" s="255"/>
      <c r="AE8" s="255"/>
      <c r="AF8" s="255"/>
      <c r="AG8" s="255"/>
      <c r="AH8" s="255"/>
      <c r="AI8" s="255"/>
      <c r="AJ8" s="256"/>
    </row>
    <row r="9" spans="9:47">
      <c r="I9" s="6" t="s">
        <v>339</v>
      </c>
      <c r="J9" s="36">
        <v>57400</v>
      </c>
      <c r="K9" s="6">
        <v>5.6</v>
      </c>
      <c r="L9" s="6" t="s">
        <v>59</v>
      </c>
      <c r="M9" s="6">
        <v>0</v>
      </c>
      <c r="N9" s="6" t="s">
        <v>21</v>
      </c>
      <c r="O9" s="6" t="s">
        <v>12</v>
      </c>
      <c r="P9" s="186">
        <f>(32.91*0.1)/100</f>
        <v>3.2910000000000002E-2</v>
      </c>
      <c r="Q9" s="186"/>
      <c r="V9" s="214"/>
      <c r="W9" s="214"/>
      <c r="X9" s="214"/>
      <c r="Y9" s="214"/>
      <c r="Z9" s="234"/>
      <c r="AA9" s="78"/>
      <c r="AB9" s="224"/>
      <c r="AC9" t="s">
        <v>437</v>
      </c>
      <c r="AD9" t="s">
        <v>436</v>
      </c>
      <c r="AE9" t="s">
        <v>58</v>
      </c>
      <c r="AF9" t="s">
        <v>435</v>
      </c>
      <c r="AG9" t="s">
        <v>434</v>
      </c>
      <c r="AI9" s="11"/>
      <c r="AJ9" s="11"/>
    </row>
    <row r="10" spans="9:47">
      <c r="I10" s="6" t="s">
        <v>50</v>
      </c>
      <c r="J10" s="37">
        <v>39500</v>
      </c>
      <c r="K10" s="6">
        <v>5.3</v>
      </c>
      <c r="L10" s="6" t="s">
        <v>59</v>
      </c>
      <c r="M10" s="6" t="s">
        <v>54</v>
      </c>
      <c r="N10" s="6">
        <v>19</v>
      </c>
      <c r="O10" s="7" t="s">
        <v>13</v>
      </c>
      <c r="P10" s="7">
        <f>(5.33/N10)</f>
        <v>0.28052631578947368</v>
      </c>
      <c r="Q10" s="7"/>
      <c r="S10" s="5"/>
      <c r="T10" s="220"/>
      <c r="U10" s="16"/>
      <c r="W10" s="214"/>
      <c r="X10" s="214"/>
      <c r="Y10" s="214"/>
      <c r="Z10" s="235"/>
      <c r="AA10" s="78"/>
      <c r="AB10" s="15" t="s">
        <v>439</v>
      </c>
      <c r="AC10" s="9">
        <f>AVERAGE(J10:J13)</f>
        <v>48062.5</v>
      </c>
      <c r="AD10">
        <f>AVERAGE(K10:K13)</f>
        <v>5.5249999999999995</v>
      </c>
      <c r="AE10" t="s">
        <v>59</v>
      </c>
      <c r="AF10" t="s">
        <v>433</v>
      </c>
      <c r="AG10">
        <f>AVERAGE(N10:N13)</f>
        <v>19.5</v>
      </c>
    </row>
    <row r="11" spans="9:47">
      <c r="I11" s="6" t="s">
        <v>1</v>
      </c>
      <c r="J11" s="37">
        <v>45200</v>
      </c>
      <c r="K11" s="6">
        <v>5.9</v>
      </c>
      <c r="L11" s="6" t="s">
        <v>59</v>
      </c>
      <c r="M11" s="6" t="s">
        <v>51</v>
      </c>
      <c r="N11" s="6">
        <v>21</v>
      </c>
      <c r="O11" s="7" t="s">
        <v>13</v>
      </c>
      <c r="P11" s="7">
        <f t="shared" ref="P11:P12" si="0">(5.33/N11)</f>
        <v>0.25380952380952382</v>
      </c>
      <c r="Q11" s="7"/>
      <c r="S11" t="s">
        <v>24</v>
      </c>
      <c r="W11" s="214"/>
      <c r="X11" s="214"/>
      <c r="Y11" s="214"/>
      <c r="Z11" s="235"/>
      <c r="AA11" s="78"/>
    </row>
    <row r="12" spans="9:47">
      <c r="I12" s="6" t="s">
        <v>2</v>
      </c>
      <c r="J12" s="37">
        <v>56300</v>
      </c>
      <c r="K12" s="6">
        <v>5.2</v>
      </c>
      <c r="L12" s="6" t="s">
        <v>59</v>
      </c>
      <c r="M12" s="6" t="s">
        <v>52</v>
      </c>
      <c r="N12" s="6">
        <v>18</v>
      </c>
      <c r="O12" s="7" t="s">
        <v>13</v>
      </c>
      <c r="P12" s="7">
        <f t="shared" si="0"/>
        <v>0.2961111111111111</v>
      </c>
      <c r="Q12" s="7"/>
      <c r="W12" s="226"/>
      <c r="X12" s="226"/>
      <c r="Y12" s="226"/>
      <c r="Z12" s="235"/>
      <c r="AA12" s="78"/>
    </row>
    <row r="13" spans="9:47">
      <c r="I13" s="38" t="s">
        <v>41</v>
      </c>
      <c r="J13" s="37">
        <v>51250</v>
      </c>
      <c r="K13" s="38">
        <v>5.7</v>
      </c>
      <c r="L13" s="6" t="s">
        <v>59</v>
      </c>
      <c r="M13" s="40" t="s">
        <v>49</v>
      </c>
      <c r="N13" s="38">
        <v>20</v>
      </c>
      <c r="O13" s="7" t="s">
        <v>13</v>
      </c>
      <c r="P13" s="7">
        <f>(5.33/N13)</f>
        <v>0.26650000000000001</v>
      </c>
      <c r="Q13" s="7"/>
      <c r="Y13" s="224"/>
      <c r="Z13" s="235"/>
      <c r="AC13" s="11"/>
      <c r="AD13" s="11"/>
      <c r="AE13" s="11"/>
      <c r="AF13" s="11"/>
    </row>
    <row r="14" spans="9:47">
      <c r="I14" s="38" t="s">
        <v>337</v>
      </c>
      <c r="J14" s="37">
        <v>48000</v>
      </c>
      <c r="K14" s="38" t="s">
        <v>456</v>
      </c>
      <c r="L14" s="38" t="s">
        <v>59</v>
      </c>
      <c r="M14" s="38" t="s">
        <v>286</v>
      </c>
      <c r="N14" s="38" t="s">
        <v>21</v>
      </c>
      <c r="O14" s="38" t="s">
        <v>336</v>
      </c>
      <c r="P14" s="191">
        <f>(5.33/(100)*0.8)+((0.1*32.91)/(100)*0.2)</f>
        <v>4.9222000000000002E-2</v>
      </c>
      <c r="Q14" s="26"/>
      <c r="AB14" s="225" t="s">
        <v>430</v>
      </c>
      <c r="AC14" s="237">
        <v>1</v>
      </c>
      <c r="AD14" s="237">
        <v>1.5</v>
      </c>
      <c r="AE14" s="237">
        <v>2</v>
      </c>
      <c r="AF14" s="237">
        <v>2.5</v>
      </c>
      <c r="AG14" s="237">
        <v>3</v>
      </c>
      <c r="AH14" s="237">
        <v>3.5</v>
      </c>
      <c r="AI14" s="237">
        <v>4</v>
      </c>
      <c r="AJ14" s="237">
        <v>4.5</v>
      </c>
      <c r="AK14" s="237">
        <v>5</v>
      </c>
      <c r="AL14" s="237">
        <v>5.5</v>
      </c>
      <c r="AM14" s="237">
        <v>6</v>
      </c>
      <c r="AN14" s="237">
        <v>6.5</v>
      </c>
      <c r="AO14" s="237">
        <v>7</v>
      </c>
      <c r="AP14" s="237">
        <v>7.5</v>
      </c>
      <c r="AQ14" s="237">
        <v>8</v>
      </c>
      <c r="AR14" s="237">
        <v>8.5</v>
      </c>
      <c r="AS14" s="237">
        <v>9</v>
      </c>
      <c r="AT14" s="237">
        <v>9.5</v>
      </c>
      <c r="AU14" s="237">
        <v>10</v>
      </c>
    </row>
    <row r="15" spans="9:47">
      <c r="AB15" s="225" t="s">
        <v>440</v>
      </c>
      <c r="AC15" s="237">
        <f>AC14/AG$10</f>
        <v>5.128205128205128E-2</v>
      </c>
      <c r="AD15" s="237">
        <f>AD14/AG$10</f>
        <v>7.6923076923076927E-2</v>
      </c>
      <c r="AE15" s="237">
        <f>AE14/AG$10</f>
        <v>0.10256410256410256</v>
      </c>
      <c r="AF15" s="237">
        <f>AF14/AG$10</f>
        <v>0.12820512820512819</v>
      </c>
      <c r="AG15" s="237">
        <f>AG14/AG$10</f>
        <v>0.15384615384615385</v>
      </c>
      <c r="AH15" s="237">
        <f>AH14/AG$10</f>
        <v>0.17948717948717949</v>
      </c>
      <c r="AI15" s="237">
        <f>AI14/AG$10</f>
        <v>0.20512820512820512</v>
      </c>
      <c r="AJ15" s="237">
        <f>AJ14/AG$10</f>
        <v>0.23076923076923078</v>
      </c>
      <c r="AK15" s="237">
        <f>AK14/AG$10</f>
        <v>0.25641025641025639</v>
      </c>
      <c r="AL15" s="237">
        <f>AL14/AG$10</f>
        <v>0.28205128205128205</v>
      </c>
      <c r="AM15" s="237">
        <f>AM14/AG$10</f>
        <v>0.30769230769230771</v>
      </c>
      <c r="AN15" s="237">
        <f>AN14/AG$10</f>
        <v>0.33333333333333331</v>
      </c>
      <c r="AO15" s="237">
        <f>AO14/AG$10</f>
        <v>0.35897435897435898</v>
      </c>
      <c r="AP15" s="237" t="e">
        <f>AP14/AH$10</f>
        <v>#DIV/0!</v>
      </c>
      <c r="AQ15" s="237" t="e">
        <f t="shared" ref="AQ15:AU15" si="1">AQ14/AI$10</f>
        <v>#DIV/0!</v>
      </c>
      <c r="AR15" s="237" t="e">
        <f t="shared" si="1"/>
        <v>#DIV/0!</v>
      </c>
      <c r="AS15" s="237" t="e">
        <f t="shared" si="1"/>
        <v>#DIV/0!</v>
      </c>
      <c r="AT15" s="237" t="e">
        <f t="shared" si="1"/>
        <v>#DIV/0!</v>
      </c>
      <c r="AU15" s="237" t="e">
        <f t="shared" si="1"/>
        <v>#DIV/0!</v>
      </c>
    </row>
    <row r="16" spans="9:47" ht="12" customHeight="1">
      <c r="N16" s="11"/>
      <c r="O16" s="11"/>
      <c r="P16" s="11"/>
      <c r="Q16" s="11"/>
      <c r="AB16" s="225" t="s">
        <v>25</v>
      </c>
      <c r="AC16" s="239">
        <f t="shared" ref="AC16:AU16" si="2">$V36</f>
        <v>4.9200000000000001E-2</v>
      </c>
      <c r="AD16" s="239">
        <f t="shared" si="2"/>
        <v>4.9200000000000001E-2</v>
      </c>
      <c r="AE16" s="239">
        <f t="shared" si="2"/>
        <v>4.9200000000000001E-2</v>
      </c>
      <c r="AF16" s="239">
        <f t="shared" si="2"/>
        <v>4.9200000000000001E-2</v>
      </c>
      <c r="AG16" s="239">
        <f t="shared" si="2"/>
        <v>4.9200000000000001E-2</v>
      </c>
      <c r="AH16" s="239">
        <f t="shared" si="2"/>
        <v>4.9200000000000001E-2</v>
      </c>
      <c r="AI16" s="239">
        <f t="shared" si="2"/>
        <v>4.9200000000000001E-2</v>
      </c>
      <c r="AJ16" s="239">
        <f t="shared" si="2"/>
        <v>4.9200000000000001E-2</v>
      </c>
      <c r="AK16" s="239">
        <f t="shared" si="2"/>
        <v>4.9200000000000001E-2</v>
      </c>
      <c r="AL16" s="239">
        <f t="shared" si="2"/>
        <v>4.9200000000000001E-2</v>
      </c>
      <c r="AM16" s="239">
        <f t="shared" si="2"/>
        <v>4.9200000000000001E-2</v>
      </c>
      <c r="AN16" s="239">
        <f t="shared" si="2"/>
        <v>4.9200000000000001E-2</v>
      </c>
      <c r="AO16" s="239">
        <f t="shared" si="2"/>
        <v>4.9200000000000001E-2</v>
      </c>
      <c r="AP16" s="239">
        <f t="shared" si="2"/>
        <v>4.9200000000000001E-2</v>
      </c>
      <c r="AQ16" s="239">
        <f t="shared" si="2"/>
        <v>4.9200000000000001E-2</v>
      </c>
      <c r="AR16" s="239">
        <f t="shared" si="2"/>
        <v>4.9200000000000001E-2</v>
      </c>
      <c r="AS16" s="239">
        <f t="shared" si="2"/>
        <v>4.9200000000000001E-2</v>
      </c>
      <c r="AT16" s="239">
        <f t="shared" si="2"/>
        <v>4.9200000000000001E-2</v>
      </c>
      <c r="AU16" s="239">
        <f t="shared" si="2"/>
        <v>4.9200000000000001E-2</v>
      </c>
    </row>
    <row r="17" spans="9:53" ht="15.75" hidden="1" customHeight="1">
      <c r="J17" s="2"/>
      <c r="K17" s="2"/>
      <c r="N17" s="11"/>
      <c r="O17" s="11"/>
      <c r="P17" s="10"/>
      <c r="Q17" s="10"/>
      <c r="U17" s="6" t="s">
        <v>401</v>
      </c>
      <c r="V17" s="6"/>
      <c r="W17" s="6"/>
      <c r="X17" s="6"/>
      <c r="Y17" s="6"/>
      <c r="AB17" s="225" t="s">
        <v>26</v>
      </c>
      <c r="AC17" s="238">
        <f t="shared" ref="AC17:AO17" si="3">$V31</f>
        <v>1.4800000000000001E-2</v>
      </c>
      <c r="AD17" s="238">
        <f t="shared" si="3"/>
        <v>1.4800000000000001E-2</v>
      </c>
      <c r="AE17" s="238">
        <f t="shared" si="3"/>
        <v>1.4800000000000001E-2</v>
      </c>
      <c r="AF17" s="238">
        <f t="shared" si="3"/>
        <v>1.4800000000000001E-2</v>
      </c>
      <c r="AG17" s="238">
        <f t="shared" si="3"/>
        <v>1.4800000000000001E-2</v>
      </c>
      <c r="AH17" s="238">
        <f t="shared" si="3"/>
        <v>1.4800000000000001E-2</v>
      </c>
      <c r="AI17" s="238">
        <f t="shared" si="3"/>
        <v>1.4800000000000001E-2</v>
      </c>
      <c r="AJ17" s="238">
        <f t="shared" si="3"/>
        <v>1.4800000000000001E-2</v>
      </c>
      <c r="AK17" s="238">
        <f t="shared" si="3"/>
        <v>1.4800000000000001E-2</v>
      </c>
      <c r="AL17" s="238">
        <f t="shared" si="3"/>
        <v>1.4800000000000001E-2</v>
      </c>
      <c r="AM17" s="238">
        <f t="shared" si="3"/>
        <v>1.4800000000000001E-2</v>
      </c>
      <c r="AN17" s="238">
        <f t="shared" si="3"/>
        <v>1.4800000000000001E-2</v>
      </c>
      <c r="AO17" s="238">
        <f t="shared" si="3"/>
        <v>1.4800000000000001E-2</v>
      </c>
    </row>
    <row r="18" spans="9:53" ht="18" customHeight="1">
      <c r="J18" s="2"/>
      <c r="K18" s="2"/>
      <c r="N18" s="12"/>
      <c r="O18" s="12"/>
      <c r="P18" s="27"/>
      <c r="Q18" s="27"/>
      <c r="U18" s="35" t="s">
        <v>374</v>
      </c>
      <c r="V18" s="39">
        <v>42</v>
      </c>
      <c r="W18" s="198">
        <v>42</v>
      </c>
      <c r="X18" s="198">
        <v>70</v>
      </c>
      <c r="Y18" s="199">
        <v>95</v>
      </c>
      <c r="AB18" s="253" t="s">
        <v>26</v>
      </c>
      <c r="AC18" s="238">
        <v>1.4800000000000001E-2</v>
      </c>
      <c r="AD18" s="238">
        <v>1.4800000000000001E-2</v>
      </c>
      <c r="AE18" s="238">
        <v>1.4800000000000001E-2</v>
      </c>
      <c r="AF18" s="238">
        <v>1.4800000000000001E-2</v>
      </c>
      <c r="AG18" s="238">
        <v>1.4800000000000001E-2</v>
      </c>
      <c r="AH18" s="238">
        <v>1.4800000000000001E-2</v>
      </c>
      <c r="AI18" s="238">
        <v>1.4800000000000001E-2</v>
      </c>
      <c r="AJ18" s="238">
        <v>1.4800000000000001E-2</v>
      </c>
      <c r="AK18" s="238">
        <v>1.4800000000000001E-2</v>
      </c>
      <c r="AL18" s="238">
        <v>1.4800000000000001E-2</v>
      </c>
      <c r="AM18" s="238">
        <v>1.4800000000000001E-2</v>
      </c>
      <c r="AN18" s="238">
        <v>1.4800000000000001E-2</v>
      </c>
      <c r="AO18" s="238">
        <v>1.4800000000000001E-2</v>
      </c>
      <c r="AP18" s="238">
        <v>1.4999999999999999E-2</v>
      </c>
      <c r="AQ18" s="238">
        <v>1.4999999999999999E-2</v>
      </c>
      <c r="AR18" s="238">
        <v>1.4999999999999999E-2</v>
      </c>
      <c r="AS18" s="238">
        <v>1.4999999999999999E-2</v>
      </c>
      <c r="AT18" s="238">
        <v>1.4999999999999999E-2</v>
      </c>
      <c r="AU18" s="238">
        <v>1.4999999999999999E-2</v>
      </c>
      <c r="AW18" s="193" t="s">
        <v>373</v>
      </c>
      <c r="AX18" s="193" t="s">
        <v>369</v>
      </c>
      <c r="AY18" s="193" t="s">
        <v>370</v>
      </c>
      <c r="AZ18" s="193" t="s">
        <v>371</v>
      </c>
      <c r="BA18" s="253"/>
    </row>
    <row r="19" spans="9:53" ht="14.25" customHeight="1">
      <c r="J19" s="2"/>
      <c r="K19" s="2"/>
      <c r="P19" s="8"/>
      <c r="U19" s="39">
        <v>2012</v>
      </c>
      <c r="V19" s="41">
        <f>V18*500</f>
        <v>21000</v>
      </c>
      <c r="W19" s="36">
        <f t="shared" ref="W19" si="4">W18*500</f>
        <v>21000</v>
      </c>
      <c r="X19" s="36">
        <f t="shared" ref="X19" si="5">X18*500</f>
        <v>35000</v>
      </c>
      <c r="Y19" s="36">
        <f t="shared" ref="Y19" si="6">Y18*500</f>
        <v>47500</v>
      </c>
      <c r="AB19" s="208" t="s">
        <v>441</v>
      </c>
      <c r="AC19" s="240">
        <f t="shared" ref="AC19:AO19" si="7">SUM(AC15:AC17)</f>
        <v>0.1152820512820513</v>
      </c>
      <c r="AD19" s="240">
        <f t="shared" si="7"/>
        <v>0.14092307692307693</v>
      </c>
      <c r="AE19" s="240">
        <f t="shared" si="7"/>
        <v>0.16656410256410256</v>
      </c>
      <c r="AF19" s="240">
        <f t="shared" si="7"/>
        <v>0.1922051282051282</v>
      </c>
      <c r="AG19" s="240">
        <f t="shared" si="7"/>
        <v>0.21784615384615386</v>
      </c>
      <c r="AH19" s="240">
        <f t="shared" si="7"/>
        <v>0.24348717948717949</v>
      </c>
      <c r="AI19" s="240">
        <f t="shared" si="7"/>
        <v>0.26912820512820512</v>
      </c>
      <c r="AJ19" s="240">
        <f t="shared" si="7"/>
        <v>0.29476923076923078</v>
      </c>
      <c r="AK19" s="240">
        <f t="shared" si="7"/>
        <v>0.32041025641025639</v>
      </c>
      <c r="AL19" s="240">
        <f t="shared" si="7"/>
        <v>0.34605128205128205</v>
      </c>
      <c r="AM19" s="240">
        <f t="shared" si="7"/>
        <v>0.37169230769230771</v>
      </c>
      <c r="AN19" s="240">
        <f t="shared" si="7"/>
        <v>0.39733333333333332</v>
      </c>
      <c r="AO19" s="240">
        <f t="shared" si="7"/>
        <v>0.42297435897435898</v>
      </c>
      <c r="AW19">
        <v>48000</v>
      </c>
      <c r="AX19">
        <v>57400</v>
      </c>
      <c r="AY19">
        <v>71400</v>
      </c>
      <c r="AZ19">
        <v>83900</v>
      </c>
    </row>
    <row r="20" spans="9:53" ht="16.5" customHeight="1">
      <c r="J20" s="2"/>
      <c r="K20" s="2"/>
      <c r="P20" s="9"/>
      <c r="Q20" s="9"/>
      <c r="U20" s="39">
        <v>2015</v>
      </c>
      <c r="V20" s="41">
        <f>V18*350</f>
        <v>14700</v>
      </c>
      <c r="W20" s="36">
        <f>W18*350</f>
        <v>14700</v>
      </c>
      <c r="X20" s="36">
        <f>X18*350</f>
        <v>24500</v>
      </c>
      <c r="Y20" s="36">
        <f>Y18*350</f>
        <v>33250</v>
      </c>
      <c r="AA20" s="21" t="s">
        <v>29</v>
      </c>
      <c r="AB20" s="28">
        <v>0</v>
      </c>
      <c r="AC20" s="9">
        <f>$AC10</f>
        <v>48062.5</v>
      </c>
      <c r="AD20" s="9">
        <f t="shared" ref="AD20:AO20" si="8">$AC10</f>
        <v>48062.5</v>
      </c>
      <c r="AE20" s="9">
        <f t="shared" si="8"/>
        <v>48062.5</v>
      </c>
      <c r="AF20" s="9">
        <f t="shared" si="8"/>
        <v>48062.5</v>
      </c>
      <c r="AG20" s="9">
        <f t="shared" si="8"/>
        <v>48062.5</v>
      </c>
      <c r="AH20" s="9">
        <f t="shared" si="8"/>
        <v>48062.5</v>
      </c>
      <c r="AI20" s="9">
        <f t="shared" si="8"/>
        <v>48062.5</v>
      </c>
      <c r="AJ20" s="9">
        <f t="shared" si="8"/>
        <v>48062.5</v>
      </c>
      <c r="AK20" s="9">
        <f t="shared" si="8"/>
        <v>48062.5</v>
      </c>
      <c r="AL20" s="9">
        <f t="shared" si="8"/>
        <v>48062.5</v>
      </c>
      <c r="AM20" s="9">
        <f t="shared" si="8"/>
        <v>48062.5</v>
      </c>
      <c r="AN20" s="9">
        <f t="shared" si="8"/>
        <v>48062.5</v>
      </c>
      <c r="AO20" s="9">
        <f t="shared" si="8"/>
        <v>48062.5</v>
      </c>
      <c r="AW20">
        <v>49861.22</v>
      </c>
      <c r="AX20">
        <v>59666.9</v>
      </c>
      <c r="AY20">
        <v>74646.899999999994</v>
      </c>
      <c r="AZ20">
        <v>88021.9</v>
      </c>
    </row>
    <row r="21" spans="9:53" ht="16.5" customHeight="1">
      <c r="P21" s="29" t="s">
        <v>36</v>
      </c>
      <c r="Q21" s="30" t="s">
        <v>37</v>
      </c>
      <c r="R21" t="s">
        <v>363</v>
      </c>
      <c r="U21" s="35" t="s">
        <v>372</v>
      </c>
      <c r="V21" s="39"/>
      <c r="W21" s="197">
        <v>12000</v>
      </c>
      <c r="X21" s="39"/>
      <c r="Y21" s="39"/>
      <c r="AA21" s="21" t="s">
        <v>29</v>
      </c>
      <c r="AB21" s="23">
        <v>10000</v>
      </c>
      <c r="AC21" s="73">
        <f>AC$20+(($AB21)*(AC$19))</f>
        <v>49215.320512820515</v>
      </c>
      <c r="AD21" s="73">
        <f t="shared" ref="AD21:AO30" si="9">AD$20+(($AB21)*(AD$19))</f>
        <v>49471.730769230766</v>
      </c>
      <c r="AE21" s="73">
        <f t="shared" si="9"/>
        <v>49728.141025641024</v>
      </c>
      <c r="AF21" s="73">
        <f t="shared" si="9"/>
        <v>49984.551282051281</v>
      </c>
      <c r="AG21" s="73">
        <f t="shared" si="9"/>
        <v>50240.961538461539</v>
      </c>
      <c r="AH21" s="73">
        <f t="shared" si="9"/>
        <v>50497.371794871797</v>
      </c>
      <c r="AI21" s="73">
        <f t="shared" si="9"/>
        <v>50753.782051282054</v>
      </c>
      <c r="AJ21" s="73">
        <f t="shared" si="9"/>
        <v>51010.192307692305</v>
      </c>
      <c r="AK21" s="73">
        <f t="shared" si="9"/>
        <v>51266.602564102563</v>
      </c>
      <c r="AL21" s="73">
        <f t="shared" si="9"/>
        <v>51523.01282051282</v>
      </c>
      <c r="AM21" s="73">
        <f t="shared" si="9"/>
        <v>51779.423076923078</v>
      </c>
      <c r="AN21" s="73">
        <f t="shared" si="9"/>
        <v>52035.833333333336</v>
      </c>
      <c r="AO21" s="73">
        <f t="shared" si="9"/>
        <v>52292.243589743593</v>
      </c>
      <c r="AW21">
        <v>51722.44</v>
      </c>
      <c r="AX21">
        <v>61933.8</v>
      </c>
      <c r="AY21">
        <v>77893.8</v>
      </c>
      <c r="AZ21">
        <v>92143.8</v>
      </c>
    </row>
    <row r="22" spans="9:53" ht="27" customHeight="1">
      <c r="P22" s="29"/>
      <c r="Q22" s="213"/>
      <c r="T22" s="11"/>
      <c r="U22" s="21" t="s">
        <v>368</v>
      </c>
      <c r="V22" s="215"/>
      <c r="W22" s="22"/>
      <c r="X22" s="22"/>
      <c r="Y22" s="216"/>
      <c r="AA22" s="21" t="s">
        <v>29</v>
      </c>
      <c r="AB22" s="23">
        <v>20000</v>
      </c>
      <c r="AC22" s="73">
        <f t="shared" ref="AC22:AC29" si="10">AC$20+(($AB22)*(AC$19))</f>
        <v>50368.141025641024</v>
      </c>
      <c r="AD22" s="73">
        <f t="shared" si="9"/>
        <v>50880.961538461539</v>
      </c>
      <c r="AE22" s="73">
        <f t="shared" si="9"/>
        <v>51393.782051282054</v>
      </c>
      <c r="AF22" s="73">
        <f t="shared" si="9"/>
        <v>51906.602564102563</v>
      </c>
      <c r="AG22" s="73">
        <f t="shared" si="9"/>
        <v>52419.423076923078</v>
      </c>
      <c r="AH22" s="73">
        <f t="shared" si="9"/>
        <v>52932.243589743593</v>
      </c>
      <c r="AI22" s="73">
        <f t="shared" si="9"/>
        <v>53445.064102564102</v>
      </c>
      <c r="AJ22" s="73">
        <f t="shared" si="9"/>
        <v>53957.884615384617</v>
      </c>
      <c r="AK22" s="73">
        <f t="shared" si="9"/>
        <v>54470.705128205125</v>
      </c>
      <c r="AL22" s="73">
        <f t="shared" si="9"/>
        <v>54983.525641025641</v>
      </c>
      <c r="AM22" s="73">
        <f t="shared" si="9"/>
        <v>55496.346153846156</v>
      </c>
      <c r="AN22" s="73">
        <f t="shared" si="9"/>
        <v>56009.166666666664</v>
      </c>
      <c r="AO22" s="73">
        <f t="shared" si="9"/>
        <v>56521.98717948718</v>
      </c>
      <c r="AW22">
        <v>53583.66</v>
      </c>
      <c r="AX22">
        <v>64200.7</v>
      </c>
      <c r="AY22">
        <v>81140.7</v>
      </c>
      <c r="AZ22">
        <v>96265.7</v>
      </c>
    </row>
    <row r="23" spans="9:53" ht="30.75" customHeight="1">
      <c r="L23" s="10" t="s">
        <v>0</v>
      </c>
      <c r="M23" s="10" t="s">
        <v>1</v>
      </c>
      <c r="N23" s="10" t="s">
        <v>2</v>
      </c>
      <c r="O23" s="10" t="s">
        <v>41</v>
      </c>
      <c r="P23" s="193" t="s">
        <v>369</v>
      </c>
      <c r="Q23" s="193" t="s">
        <v>370</v>
      </c>
      <c r="R23" s="193" t="s">
        <v>371</v>
      </c>
      <c r="S23" s="192"/>
      <c r="T23" s="193" t="s">
        <v>373</v>
      </c>
      <c r="W23" s="13"/>
      <c r="X23" s="13"/>
      <c r="AA23" s="21" t="s">
        <v>29</v>
      </c>
      <c r="AB23" s="23">
        <v>30000</v>
      </c>
      <c r="AC23" s="73">
        <f t="shared" si="10"/>
        <v>51520.961538461539</v>
      </c>
      <c r="AD23" s="73">
        <f t="shared" si="9"/>
        <v>52290.192307692305</v>
      </c>
      <c r="AE23" s="73">
        <f t="shared" si="9"/>
        <v>53059.423076923078</v>
      </c>
      <c r="AF23" s="73">
        <f t="shared" si="9"/>
        <v>53828.653846153844</v>
      </c>
      <c r="AG23" s="73">
        <f t="shared" si="9"/>
        <v>54597.884615384617</v>
      </c>
      <c r="AH23" s="73">
        <f t="shared" si="9"/>
        <v>55367.115384615383</v>
      </c>
      <c r="AI23" s="73">
        <f t="shared" si="9"/>
        <v>56136.346153846156</v>
      </c>
      <c r="AJ23" s="73">
        <f t="shared" si="9"/>
        <v>56905.576923076922</v>
      </c>
      <c r="AK23" s="73">
        <f t="shared" si="9"/>
        <v>57674.807692307688</v>
      </c>
      <c r="AL23" s="73">
        <f t="shared" si="9"/>
        <v>58444.038461538461</v>
      </c>
      <c r="AM23" s="73">
        <f t="shared" si="9"/>
        <v>59213.269230769234</v>
      </c>
      <c r="AN23" s="73">
        <f t="shared" si="9"/>
        <v>59982.5</v>
      </c>
      <c r="AO23" s="73">
        <f t="shared" si="9"/>
        <v>60751.730769230766</v>
      </c>
      <c r="AW23">
        <v>55444.88</v>
      </c>
      <c r="AX23">
        <v>66467.600000000006</v>
      </c>
      <c r="AY23">
        <v>84387.6</v>
      </c>
      <c r="AZ23">
        <v>100387.6</v>
      </c>
    </row>
    <row r="24" spans="9:53">
      <c r="K24" s="15" t="s">
        <v>28</v>
      </c>
      <c r="L24" s="10" t="s">
        <v>15</v>
      </c>
      <c r="M24" s="10" t="s">
        <v>16</v>
      </c>
      <c r="N24" s="10" t="s">
        <v>17</v>
      </c>
      <c r="O24" s="38" t="s">
        <v>42</v>
      </c>
      <c r="P24" s="6" t="s">
        <v>14</v>
      </c>
      <c r="Q24" s="6" t="s">
        <v>14</v>
      </c>
      <c r="R24" s="6" t="s">
        <v>14</v>
      </c>
      <c r="S24" s="6" t="s">
        <v>14</v>
      </c>
      <c r="T24" s="195" t="s">
        <v>381</v>
      </c>
      <c r="U24" s="36"/>
      <c r="V24" s="36" t="s">
        <v>395</v>
      </c>
      <c r="W24" s="39"/>
      <c r="X24" s="39"/>
      <c r="AA24" s="21" t="s">
        <v>29</v>
      </c>
      <c r="AB24" s="23">
        <v>40000</v>
      </c>
      <c r="AC24" s="73">
        <f t="shared" si="10"/>
        <v>52673.782051282054</v>
      </c>
      <c r="AD24" s="73">
        <f t="shared" si="9"/>
        <v>53699.423076923078</v>
      </c>
      <c r="AE24" s="73">
        <f t="shared" si="9"/>
        <v>54725.064102564102</v>
      </c>
      <c r="AF24" s="73">
        <f t="shared" si="9"/>
        <v>55750.705128205125</v>
      </c>
      <c r="AG24" s="73">
        <f t="shared" si="9"/>
        <v>56776.346153846156</v>
      </c>
      <c r="AH24" s="73">
        <f t="shared" si="9"/>
        <v>57801.98717948718</v>
      </c>
      <c r="AI24" s="73">
        <f t="shared" si="9"/>
        <v>58827.628205128203</v>
      </c>
      <c r="AJ24" s="73">
        <f t="shared" si="9"/>
        <v>59853.269230769234</v>
      </c>
      <c r="AK24" s="73">
        <f t="shared" si="9"/>
        <v>60878.910256410258</v>
      </c>
      <c r="AL24" s="73">
        <f t="shared" si="9"/>
        <v>61904.551282051281</v>
      </c>
      <c r="AM24" s="73">
        <f t="shared" si="9"/>
        <v>62930.192307692312</v>
      </c>
      <c r="AN24" s="73">
        <f t="shared" si="9"/>
        <v>63955.833333333328</v>
      </c>
      <c r="AO24" s="73">
        <f t="shared" si="9"/>
        <v>64981.474358974359</v>
      </c>
      <c r="AW24">
        <v>57306.1</v>
      </c>
      <c r="AX24">
        <v>68734.5</v>
      </c>
      <c r="AY24">
        <v>87634.5</v>
      </c>
      <c r="AZ24">
        <v>104509.5</v>
      </c>
    </row>
    <row r="25" spans="9:53">
      <c r="K25" s="14" t="s">
        <v>22</v>
      </c>
      <c r="L25" s="13">
        <v>0.28052631578947368</v>
      </c>
      <c r="M25" s="13">
        <v>0.25380952380952382</v>
      </c>
      <c r="N25" s="13">
        <v>0.2961111111111111</v>
      </c>
      <c r="O25" s="13">
        <v>0.26650000000000001</v>
      </c>
      <c r="P25" s="185">
        <f>P9</f>
        <v>3.2910000000000002E-2</v>
      </c>
      <c r="Q25" s="185">
        <f>P9</f>
        <v>3.2910000000000002E-2</v>
      </c>
      <c r="R25" s="185">
        <f>P9</f>
        <v>3.2910000000000002E-2</v>
      </c>
      <c r="S25" s="185">
        <f>R9</f>
        <v>0</v>
      </c>
      <c r="T25" s="13">
        <f>P14</f>
        <v>4.9222000000000002E-2</v>
      </c>
      <c r="U25" s="36"/>
      <c r="V25" s="36" t="s">
        <v>397</v>
      </c>
      <c r="W25" s="6" t="s">
        <v>398</v>
      </c>
      <c r="X25" s="6" t="s">
        <v>399</v>
      </c>
      <c r="Z25" s="236"/>
      <c r="AA25" s="21" t="s">
        <v>29</v>
      </c>
      <c r="AB25" s="23">
        <v>50000</v>
      </c>
      <c r="AC25" s="73">
        <f t="shared" si="10"/>
        <v>53826.602564102563</v>
      </c>
      <c r="AD25" s="73">
        <f t="shared" si="9"/>
        <v>55108.653846153844</v>
      </c>
      <c r="AE25" s="73">
        <f t="shared" si="9"/>
        <v>56390.705128205125</v>
      </c>
      <c r="AF25" s="73">
        <f t="shared" si="9"/>
        <v>57672.756410256407</v>
      </c>
      <c r="AG25" s="73">
        <f t="shared" si="9"/>
        <v>58954.807692307695</v>
      </c>
      <c r="AH25" s="73">
        <f t="shared" si="9"/>
        <v>60236.858974358976</v>
      </c>
      <c r="AI25" s="73">
        <f t="shared" si="9"/>
        <v>61518.910256410258</v>
      </c>
      <c r="AJ25" s="73">
        <f t="shared" si="9"/>
        <v>62800.961538461539</v>
      </c>
      <c r="AK25" s="73">
        <f t="shared" si="9"/>
        <v>64083.01282051282</v>
      </c>
      <c r="AL25" s="73">
        <f t="shared" si="9"/>
        <v>65365.064102564102</v>
      </c>
      <c r="AM25" s="73">
        <f t="shared" si="9"/>
        <v>66647.11538461539</v>
      </c>
      <c r="AN25" s="73">
        <f t="shared" si="9"/>
        <v>67929.166666666657</v>
      </c>
      <c r="AO25" s="73">
        <f t="shared" si="9"/>
        <v>69211.217948717953</v>
      </c>
      <c r="AW25">
        <v>59167.32</v>
      </c>
      <c r="AX25">
        <v>71001.399999999994</v>
      </c>
      <c r="AY25">
        <v>90881.4</v>
      </c>
      <c r="AZ25">
        <v>108631.4</v>
      </c>
    </row>
    <row r="26" spans="9:53">
      <c r="K26" s="15" t="s">
        <v>25</v>
      </c>
      <c r="L26" s="185">
        <f>$V36</f>
        <v>4.9200000000000001E-2</v>
      </c>
      <c r="M26" s="185">
        <f>$V36</f>
        <v>4.9200000000000001E-2</v>
      </c>
      <c r="N26" s="185">
        <f>$V36</f>
        <v>4.9200000000000001E-2</v>
      </c>
      <c r="O26" s="185">
        <f>$V36</f>
        <v>4.9200000000000001E-2</v>
      </c>
      <c r="P26" s="185">
        <f>(W20/100000)+V38</f>
        <v>0.17898</v>
      </c>
      <c r="Q26" s="188">
        <f>X20/100000+V38</f>
        <v>0.27698</v>
      </c>
      <c r="R26" s="188">
        <f>Y20/100000+V38</f>
        <v>0.36448000000000003</v>
      </c>
      <c r="T26" s="13">
        <f>((22*350)/(100000))+V35</f>
        <v>0.1221</v>
      </c>
      <c r="U26" s="39" t="s">
        <v>396</v>
      </c>
      <c r="V26" s="229">
        <v>4.2599999999999999E-2</v>
      </c>
      <c r="W26" s="39">
        <v>4.5100000000000001E-2</v>
      </c>
      <c r="X26" s="39">
        <v>4.9200000000000001E-2</v>
      </c>
      <c r="Z26" s="236"/>
      <c r="AA26" s="21" t="s">
        <v>29</v>
      </c>
      <c r="AB26" s="23">
        <v>60000</v>
      </c>
      <c r="AC26" s="73">
        <f t="shared" si="10"/>
        <v>54979.423076923078</v>
      </c>
      <c r="AD26" s="73">
        <f t="shared" si="9"/>
        <v>56517.884615384617</v>
      </c>
      <c r="AE26" s="73">
        <f t="shared" si="9"/>
        <v>58056.346153846156</v>
      </c>
      <c r="AF26" s="73">
        <f t="shared" si="9"/>
        <v>59594.807692307688</v>
      </c>
      <c r="AG26" s="73">
        <f t="shared" si="9"/>
        <v>61133.269230769234</v>
      </c>
      <c r="AH26" s="73">
        <f t="shared" si="9"/>
        <v>62671.730769230766</v>
      </c>
      <c r="AI26" s="73">
        <f t="shared" si="9"/>
        <v>64210.192307692305</v>
      </c>
      <c r="AJ26" s="73">
        <f t="shared" si="9"/>
        <v>65748.653846153844</v>
      </c>
      <c r="AK26" s="73">
        <f t="shared" si="9"/>
        <v>67287.115384615376</v>
      </c>
      <c r="AL26" s="73">
        <f t="shared" si="9"/>
        <v>68825.576923076922</v>
      </c>
      <c r="AM26" s="73">
        <f t="shared" si="9"/>
        <v>70364.038461538468</v>
      </c>
      <c r="AN26" s="73">
        <f t="shared" si="9"/>
        <v>71902.5</v>
      </c>
      <c r="AO26" s="73">
        <f t="shared" si="9"/>
        <v>73440.961538461532</v>
      </c>
      <c r="AW26">
        <v>61028.54</v>
      </c>
      <c r="AX26">
        <v>73268.3</v>
      </c>
      <c r="AY26">
        <v>94128.3</v>
      </c>
      <c r="AZ26">
        <v>112753.3</v>
      </c>
    </row>
    <row r="27" spans="9:53">
      <c r="K27" s="15" t="s">
        <v>26</v>
      </c>
      <c r="L27" s="13">
        <f t="shared" ref="L27:R27" si="11">$V31</f>
        <v>1.4800000000000001E-2</v>
      </c>
      <c r="M27" s="13">
        <f t="shared" si="11"/>
        <v>1.4800000000000001E-2</v>
      </c>
      <c r="N27" s="13">
        <f t="shared" si="11"/>
        <v>1.4800000000000001E-2</v>
      </c>
      <c r="O27" s="13">
        <f t="shared" si="11"/>
        <v>1.4800000000000001E-2</v>
      </c>
      <c r="P27" s="13">
        <f t="shared" si="11"/>
        <v>1.4800000000000001E-2</v>
      </c>
      <c r="Q27" s="13">
        <f t="shared" si="11"/>
        <v>1.4800000000000001E-2</v>
      </c>
      <c r="R27" s="13">
        <f t="shared" si="11"/>
        <v>1.4800000000000001E-2</v>
      </c>
      <c r="T27" s="13">
        <f>$V31</f>
        <v>1.4800000000000001E-2</v>
      </c>
      <c r="U27" s="19"/>
      <c r="AA27" s="21" t="s">
        <v>29</v>
      </c>
      <c r="AB27" s="23">
        <v>70000</v>
      </c>
      <c r="AC27" s="73">
        <f t="shared" si="10"/>
        <v>56132.243589743593</v>
      </c>
      <c r="AD27" s="73">
        <f t="shared" si="9"/>
        <v>57927.115384615383</v>
      </c>
      <c r="AE27" s="73">
        <f t="shared" si="9"/>
        <v>59721.98717948718</v>
      </c>
      <c r="AF27" s="73">
        <f t="shared" si="9"/>
        <v>61516.858974358969</v>
      </c>
      <c r="AG27" s="73">
        <f t="shared" si="9"/>
        <v>63311.730769230766</v>
      </c>
      <c r="AH27" s="73">
        <f t="shared" si="9"/>
        <v>65106.602564102563</v>
      </c>
      <c r="AI27" s="73">
        <f t="shared" si="9"/>
        <v>66901.474358974359</v>
      </c>
      <c r="AJ27" s="73">
        <f t="shared" si="9"/>
        <v>68696.346153846156</v>
      </c>
      <c r="AK27" s="73">
        <f t="shared" si="9"/>
        <v>70491.217948717938</v>
      </c>
      <c r="AL27" s="73">
        <f t="shared" si="9"/>
        <v>72286.08974358975</v>
      </c>
      <c r="AM27" s="73">
        <f t="shared" si="9"/>
        <v>74080.961538461532</v>
      </c>
      <c r="AN27" s="73">
        <f t="shared" si="9"/>
        <v>75875.833333333328</v>
      </c>
      <c r="AO27" s="73">
        <f t="shared" si="9"/>
        <v>77670.705128205125</v>
      </c>
      <c r="AW27">
        <v>62889.760000000002</v>
      </c>
      <c r="AX27">
        <v>75535.199999999997</v>
      </c>
      <c r="AY27">
        <v>97375.2</v>
      </c>
      <c r="AZ27">
        <v>116875.2</v>
      </c>
    </row>
    <row r="28" spans="9:53">
      <c r="K28" s="24" t="s">
        <v>27</v>
      </c>
      <c r="L28" s="25">
        <f>SUM(L25:L27)</f>
        <v>0.34452631578947368</v>
      </c>
      <c r="M28" s="25">
        <f t="shared" ref="M28:O28" si="12">SUM(M25:M27)</f>
        <v>0.31780952380952382</v>
      </c>
      <c r="N28" s="25">
        <f t="shared" si="12"/>
        <v>0.3601111111111111</v>
      </c>
      <c r="O28" s="25">
        <f t="shared" si="12"/>
        <v>0.33050000000000002</v>
      </c>
      <c r="P28" s="25">
        <f>SUM(P25:P27)</f>
        <v>0.22669</v>
      </c>
      <c r="Q28" s="25">
        <f>SUM(Q25:Q27)</f>
        <v>0.32468999999999998</v>
      </c>
      <c r="R28" s="25">
        <f>SUM(R25:R27)</f>
        <v>0.41219</v>
      </c>
      <c r="S28" s="25">
        <f t="shared" ref="S28" si="13">SUM(S25:S27)</f>
        <v>0</v>
      </c>
      <c r="T28" s="25">
        <f>SUM(T25:T27)</f>
        <v>0.18612200000000001</v>
      </c>
      <c r="U28" s="267" t="s">
        <v>389</v>
      </c>
      <c r="V28" s="268"/>
      <c r="W28" s="269"/>
      <c r="AA28" s="21" t="s">
        <v>29</v>
      </c>
      <c r="AB28" s="23">
        <v>80000</v>
      </c>
      <c r="AC28" s="73">
        <f t="shared" si="10"/>
        <v>57285.064102564102</v>
      </c>
      <c r="AD28" s="73">
        <f t="shared" si="9"/>
        <v>59336.346153846156</v>
      </c>
      <c r="AE28" s="73">
        <f t="shared" si="9"/>
        <v>61387.628205128203</v>
      </c>
      <c r="AF28" s="73">
        <f t="shared" si="9"/>
        <v>63438.910256410258</v>
      </c>
      <c r="AG28" s="73">
        <f t="shared" si="9"/>
        <v>65490.192307692312</v>
      </c>
      <c r="AH28" s="73">
        <f t="shared" si="9"/>
        <v>67541.474358974359</v>
      </c>
      <c r="AI28" s="73">
        <f t="shared" si="9"/>
        <v>69592.756410256407</v>
      </c>
      <c r="AJ28" s="73">
        <f t="shared" si="9"/>
        <v>71644.038461538468</v>
      </c>
      <c r="AK28" s="73">
        <f t="shared" si="9"/>
        <v>73695.320512820515</v>
      </c>
      <c r="AL28" s="73">
        <f t="shared" si="9"/>
        <v>75746.602564102563</v>
      </c>
      <c r="AM28" s="73">
        <f t="shared" si="9"/>
        <v>77797.884615384624</v>
      </c>
      <c r="AN28" s="73">
        <f t="shared" si="9"/>
        <v>79849.166666666657</v>
      </c>
      <c r="AO28" s="73">
        <f t="shared" si="9"/>
        <v>81900.448717948719</v>
      </c>
      <c r="AW28">
        <v>64750.979999999996</v>
      </c>
      <c r="AX28">
        <v>77802.100000000006</v>
      </c>
      <c r="AY28">
        <v>100622.1</v>
      </c>
      <c r="AZ28">
        <v>120997.1</v>
      </c>
    </row>
    <row r="29" spans="9:53">
      <c r="I29" s="28"/>
      <c r="J29" s="22"/>
      <c r="K29" s="28">
        <v>0</v>
      </c>
      <c r="L29" s="19">
        <v>39500</v>
      </c>
      <c r="M29" s="19">
        <v>45200</v>
      </c>
      <c r="N29" s="19">
        <v>56300</v>
      </c>
      <c r="O29" s="19">
        <v>51250</v>
      </c>
      <c r="P29" s="18">
        <v>57400</v>
      </c>
      <c r="Q29" s="18">
        <f>57400+(28*500)</f>
        <v>71400</v>
      </c>
      <c r="R29" s="18">
        <f>57400+(53*500)</f>
        <v>83900</v>
      </c>
      <c r="T29" s="18">
        <v>48000</v>
      </c>
      <c r="U29" s="38" t="s">
        <v>387</v>
      </c>
      <c r="V29" s="191">
        <v>185</v>
      </c>
      <c r="W29" s="39"/>
      <c r="AA29" s="21" t="s">
        <v>29</v>
      </c>
      <c r="AB29" s="23">
        <v>90000</v>
      </c>
      <c r="AC29" s="73">
        <f t="shared" si="10"/>
        <v>58437.884615384617</v>
      </c>
      <c r="AD29" s="73">
        <f t="shared" si="9"/>
        <v>60745.576923076922</v>
      </c>
      <c r="AE29" s="73">
        <f t="shared" si="9"/>
        <v>63053.269230769234</v>
      </c>
      <c r="AF29" s="73">
        <f t="shared" si="9"/>
        <v>65360.961538461539</v>
      </c>
      <c r="AG29" s="73">
        <f t="shared" si="9"/>
        <v>67668.653846153844</v>
      </c>
      <c r="AH29" s="73">
        <f t="shared" si="9"/>
        <v>69976.346153846156</v>
      </c>
      <c r="AI29" s="73">
        <f t="shared" si="9"/>
        <v>72284.038461538468</v>
      </c>
      <c r="AJ29" s="73">
        <f t="shared" si="9"/>
        <v>74591.730769230766</v>
      </c>
      <c r="AK29" s="73">
        <f t="shared" si="9"/>
        <v>76899.423076923078</v>
      </c>
      <c r="AL29" s="73">
        <f t="shared" si="9"/>
        <v>79207.115384615376</v>
      </c>
      <c r="AM29" s="73">
        <f t="shared" si="9"/>
        <v>81514.807692307688</v>
      </c>
      <c r="AN29" s="73">
        <f t="shared" si="9"/>
        <v>83822.5</v>
      </c>
      <c r="AO29" s="73">
        <f t="shared" si="9"/>
        <v>86130.192307692312</v>
      </c>
      <c r="AW29">
        <v>66612.2</v>
      </c>
      <c r="AX29">
        <v>80069</v>
      </c>
      <c r="AY29">
        <v>103869</v>
      </c>
      <c r="AZ29">
        <v>125119</v>
      </c>
    </row>
    <row r="30" spans="9:53">
      <c r="I30" s="23"/>
      <c r="J30" s="22"/>
      <c r="K30" s="23">
        <v>10000</v>
      </c>
      <c r="L30" s="19">
        <f>L$29+((L$28)*($K30))</f>
        <v>42945.263157894733</v>
      </c>
      <c r="M30" s="19">
        <f t="shared" ref="L30:O39" si="14">M$29+((M$28)*($K30))</f>
        <v>48378.095238095237</v>
      </c>
      <c r="N30" s="19">
        <f t="shared" si="14"/>
        <v>59901.111111111109</v>
      </c>
      <c r="O30" s="19">
        <f t="shared" si="14"/>
        <v>54555</v>
      </c>
      <c r="P30" s="19">
        <f t="shared" ref="P30:R39" si="15">P$29+((P$28)*($K30))</f>
        <v>59666.9</v>
      </c>
      <c r="Q30" s="19">
        <f t="shared" si="15"/>
        <v>74646.899999999994</v>
      </c>
      <c r="R30" s="19">
        <f t="shared" si="15"/>
        <v>88021.9</v>
      </c>
      <c r="T30" s="18">
        <f t="shared" ref="T30:T39" si="16">T$29+((T$28)*($K103))</f>
        <v>49861.22</v>
      </c>
      <c r="U30" s="38" t="s">
        <v>388</v>
      </c>
      <c r="V30" s="7">
        <f>V29*4</f>
        <v>740</v>
      </c>
      <c r="W30" s="39"/>
      <c r="AA30" s="21" t="s">
        <v>29</v>
      </c>
      <c r="AB30" s="23">
        <v>100000</v>
      </c>
      <c r="AC30" s="73">
        <f>AC$20+(($AB30)*(AC$19))</f>
        <v>59590.705128205125</v>
      </c>
      <c r="AD30" s="73">
        <f t="shared" si="9"/>
        <v>62154.807692307695</v>
      </c>
      <c r="AE30" s="73">
        <f t="shared" si="9"/>
        <v>64718.910256410258</v>
      </c>
      <c r="AF30" s="73">
        <f t="shared" si="9"/>
        <v>67283.012820512813</v>
      </c>
      <c r="AG30" s="73">
        <f t="shared" si="9"/>
        <v>69847.11538461539</v>
      </c>
      <c r="AH30" s="73">
        <f t="shared" si="9"/>
        <v>72411.217948717953</v>
      </c>
      <c r="AI30" s="73">
        <f t="shared" si="9"/>
        <v>74975.320512820515</v>
      </c>
      <c r="AJ30" s="73">
        <f t="shared" si="9"/>
        <v>77539.423076923078</v>
      </c>
      <c r="AK30" s="73">
        <f t="shared" si="9"/>
        <v>80103.525641025641</v>
      </c>
      <c r="AL30" s="73">
        <f t="shared" si="9"/>
        <v>82667.628205128203</v>
      </c>
      <c r="AM30" s="73">
        <f t="shared" si="9"/>
        <v>85231.73076923078</v>
      </c>
      <c r="AN30" s="73">
        <f t="shared" si="9"/>
        <v>87795.833333333328</v>
      </c>
      <c r="AO30" s="73">
        <f t="shared" si="9"/>
        <v>90359.935897435906</v>
      </c>
    </row>
    <row r="31" spans="9:53">
      <c r="I31" s="23"/>
      <c r="J31" s="22"/>
      <c r="K31" s="23">
        <v>20000</v>
      </c>
      <c r="L31" s="19">
        <f t="shared" si="14"/>
        <v>46390.526315789473</v>
      </c>
      <c r="M31" s="19">
        <f t="shared" si="14"/>
        <v>51556.190476190473</v>
      </c>
      <c r="N31" s="19">
        <f t="shared" si="14"/>
        <v>63502.222222222219</v>
      </c>
      <c r="O31" s="19">
        <f t="shared" si="14"/>
        <v>57860</v>
      </c>
      <c r="P31" s="19">
        <f t="shared" si="15"/>
        <v>61933.8</v>
      </c>
      <c r="Q31" s="19">
        <f t="shared" si="15"/>
        <v>77893.8</v>
      </c>
      <c r="R31" s="19">
        <f t="shared" si="15"/>
        <v>92143.8</v>
      </c>
      <c r="T31" s="18">
        <f t="shared" si="16"/>
        <v>51722.44</v>
      </c>
      <c r="U31" s="38" t="s">
        <v>152</v>
      </c>
      <c r="V31" s="7">
        <f>V30/50000</f>
        <v>1.4800000000000001E-2</v>
      </c>
      <c r="W31" s="39"/>
      <c r="AA31" s="21" t="s">
        <v>29</v>
      </c>
    </row>
    <row r="32" spans="9:53">
      <c r="I32" s="23"/>
      <c r="J32" s="22"/>
      <c r="K32" s="23">
        <v>30000</v>
      </c>
      <c r="L32" s="19">
        <f t="shared" si="14"/>
        <v>49835.789473684214</v>
      </c>
      <c r="M32" s="19">
        <f t="shared" si="14"/>
        <v>54734.28571428571</v>
      </c>
      <c r="N32" s="19">
        <f t="shared" si="14"/>
        <v>67103.333333333328</v>
      </c>
      <c r="O32" s="19">
        <f t="shared" si="14"/>
        <v>61165</v>
      </c>
      <c r="P32" s="19">
        <f t="shared" si="15"/>
        <v>64200.7</v>
      </c>
      <c r="Q32" s="19">
        <f t="shared" si="15"/>
        <v>81140.7</v>
      </c>
      <c r="R32" s="19">
        <f t="shared" si="15"/>
        <v>96265.7</v>
      </c>
      <c r="T32" s="18">
        <f t="shared" si="16"/>
        <v>53583.66</v>
      </c>
      <c r="AB32" s="28"/>
      <c r="AO32" s="73">
        <f>AO29-AC29</f>
        <v>27692.307692307695</v>
      </c>
    </row>
    <row r="33" spans="9:47">
      <c r="I33" s="23"/>
      <c r="J33" s="22"/>
      <c r="K33" s="23">
        <v>40000</v>
      </c>
      <c r="L33" s="19">
        <f t="shared" si="14"/>
        <v>53281.052631578947</v>
      </c>
      <c r="M33" s="19">
        <f t="shared" si="14"/>
        <v>57912.380952380954</v>
      </c>
      <c r="N33" s="19">
        <f t="shared" si="14"/>
        <v>70704.444444444438</v>
      </c>
      <c r="O33" s="19">
        <f t="shared" si="14"/>
        <v>64470</v>
      </c>
      <c r="P33" s="19">
        <f t="shared" si="15"/>
        <v>66467.600000000006</v>
      </c>
      <c r="Q33" s="19">
        <f t="shared" si="15"/>
        <v>84387.6</v>
      </c>
      <c r="R33" s="19">
        <f t="shared" si="15"/>
        <v>100387.6</v>
      </c>
      <c r="T33" s="18">
        <f t="shared" si="16"/>
        <v>55444.88</v>
      </c>
      <c r="U33" s="257" t="s">
        <v>392</v>
      </c>
      <c r="V33" s="257"/>
      <c r="AC33" s="11"/>
      <c r="AD33" s="11"/>
      <c r="AE33" s="20"/>
      <c r="AF33" s="18"/>
      <c r="AG33" s="19"/>
      <c r="AH33" s="19"/>
      <c r="AI33" s="19"/>
      <c r="AJ33" s="19"/>
    </row>
    <row r="34" spans="9:47">
      <c r="I34" s="23"/>
      <c r="J34" s="22"/>
      <c r="K34" s="23">
        <v>50000</v>
      </c>
      <c r="L34" s="19">
        <f t="shared" si="14"/>
        <v>56726.31578947368</v>
      </c>
      <c r="M34" s="19">
        <f t="shared" si="14"/>
        <v>61090.476190476191</v>
      </c>
      <c r="N34" s="19">
        <f t="shared" si="14"/>
        <v>74305.555555555562</v>
      </c>
      <c r="O34" s="19">
        <f t="shared" si="14"/>
        <v>67775</v>
      </c>
      <c r="P34" s="19">
        <f t="shared" si="15"/>
        <v>68734.5</v>
      </c>
      <c r="Q34" s="19">
        <f t="shared" si="15"/>
        <v>87634.5</v>
      </c>
      <c r="R34" s="19">
        <f t="shared" si="15"/>
        <v>104509.5</v>
      </c>
      <c r="T34" s="18">
        <f t="shared" si="16"/>
        <v>57306.1</v>
      </c>
      <c r="U34" s="6" t="s">
        <v>410</v>
      </c>
      <c r="V34" s="230">
        <f>600/12000</f>
        <v>0.05</v>
      </c>
      <c r="AA34" s="11"/>
      <c r="AB34" s="23"/>
      <c r="AC34" s="11"/>
      <c r="AD34" s="11"/>
      <c r="AE34" s="20"/>
      <c r="AF34" s="18"/>
      <c r="AG34" s="19"/>
      <c r="AH34" s="19"/>
      <c r="AI34" s="19"/>
      <c r="AJ34" s="19"/>
    </row>
    <row r="35" spans="9:47">
      <c r="I35" s="23"/>
      <c r="J35" s="22"/>
      <c r="K35" s="23">
        <v>60000</v>
      </c>
      <c r="L35" s="19">
        <f t="shared" si="14"/>
        <v>60171.57894736842</v>
      </c>
      <c r="M35" s="19">
        <f t="shared" si="14"/>
        <v>64268.571428571428</v>
      </c>
      <c r="N35" s="19">
        <f t="shared" si="14"/>
        <v>77906.666666666672</v>
      </c>
      <c r="O35" s="19">
        <f t="shared" si="14"/>
        <v>71080</v>
      </c>
      <c r="P35" s="19">
        <f t="shared" si="15"/>
        <v>71001.399999999994</v>
      </c>
      <c r="Q35" s="19">
        <f t="shared" si="15"/>
        <v>90881.4</v>
      </c>
      <c r="R35" s="19">
        <f t="shared" si="15"/>
        <v>108631.4</v>
      </c>
      <c r="T35" s="18">
        <f t="shared" si="16"/>
        <v>59167.32</v>
      </c>
      <c r="U35" s="6" t="s">
        <v>409</v>
      </c>
      <c r="V35" s="230">
        <v>4.5100000000000001E-2</v>
      </c>
      <c r="AA35" s="11"/>
      <c r="AB35" s="23"/>
    </row>
    <row r="36" spans="9:47">
      <c r="I36" s="23"/>
      <c r="J36" s="22"/>
      <c r="K36" s="23">
        <v>70000</v>
      </c>
      <c r="L36" s="19">
        <f t="shared" si="14"/>
        <v>63616.84210526316</v>
      </c>
      <c r="M36" s="19">
        <f t="shared" si="14"/>
        <v>67446.666666666672</v>
      </c>
      <c r="N36" s="19">
        <f t="shared" si="14"/>
        <v>81507.777777777781</v>
      </c>
      <c r="O36" s="19">
        <f t="shared" si="14"/>
        <v>74385</v>
      </c>
      <c r="P36" s="19">
        <f t="shared" si="15"/>
        <v>73268.3</v>
      </c>
      <c r="Q36" s="19">
        <f t="shared" si="15"/>
        <v>94128.3</v>
      </c>
      <c r="R36" s="19">
        <f t="shared" si="15"/>
        <v>112753.3</v>
      </c>
      <c r="T36" s="18">
        <f t="shared" si="16"/>
        <v>61028.54</v>
      </c>
      <c r="U36" s="6" t="s">
        <v>408</v>
      </c>
      <c r="V36" s="230">
        <v>4.9200000000000001E-2</v>
      </c>
      <c r="W36" s="19"/>
      <c r="AB36" s="23"/>
      <c r="AP36" s="237">
        <v>7.5</v>
      </c>
    </row>
    <row r="37" spans="9:47">
      <c r="I37" s="23"/>
      <c r="J37" s="22"/>
      <c r="K37" s="23">
        <v>80000</v>
      </c>
      <c r="L37" s="19">
        <f t="shared" si="14"/>
        <v>67062.105263157893</v>
      </c>
      <c r="M37" s="19">
        <f t="shared" si="14"/>
        <v>70624.761904761908</v>
      </c>
      <c r="N37" s="19">
        <f t="shared" si="14"/>
        <v>85108.888888888891</v>
      </c>
      <c r="O37" s="19">
        <f t="shared" si="14"/>
        <v>77690</v>
      </c>
      <c r="P37" s="19">
        <f t="shared" si="15"/>
        <v>75535.199999999997</v>
      </c>
      <c r="Q37" s="19">
        <f t="shared" si="15"/>
        <v>97375.2</v>
      </c>
      <c r="R37" s="19">
        <f t="shared" si="15"/>
        <v>116875.2</v>
      </c>
      <c r="T37" s="18">
        <f t="shared" si="16"/>
        <v>62889.760000000002</v>
      </c>
      <c r="U37" s="6" t="s">
        <v>411</v>
      </c>
      <c r="V37" s="230">
        <f>V35*0.65</f>
        <v>2.9315000000000001E-2</v>
      </c>
      <c r="AB37" s="23"/>
      <c r="AP37" s="237">
        <f>AP36/AG$10</f>
        <v>0.38461538461538464</v>
      </c>
      <c r="AQ37" s="237">
        <v>8</v>
      </c>
      <c r="AR37" s="237">
        <v>8.5</v>
      </c>
      <c r="AS37" s="237">
        <v>9</v>
      </c>
      <c r="AT37" s="237">
        <v>9.5</v>
      </c>
      <c r="AU37" s="237">
        <v>10</v>
      </c>
    </row>
    <row r="38" spans="9:47">
      <c r="I38" s="23"/>
      <c r="J38" s="22"/>
      <c r="K38" s="23">
        <v>90000</v>
      </c>
      <c r="L38" s="19">
        <f t="shared" si="14"/>
        <v>70507.368421052626</v>
      </c>
      <c r="M38" s="19">
        <f t="shared" si="14"/>
        <v>73802.857142857145</v>
      </c>
      <c r="N38" s="19">
        <f t="shared" si="14"/>
        <v>88710</v>
      </c>
      <c r="O38" s="19">
        <f t="shared" si="14"/>
        <v>80995</v>
      </c>
      <c r="P38" s="19">
        <f t="shared" si="15"/>
        <v>77802.100000000006</v>
      </c>
      <c r="Q38" s="19">
        <f t="shared" si="15"/>
        <v>100622.1</v>
      </c>
      <c r="R38" s="19">
        <f t="shared" si="15"/>
        <v>120997.1</v>
      </c>
      <c r="T38" s="18">
        <f t="shared" si="16"/>
        <v>64750.979999999996</v>
      </c>
      <c r="U38" s="6" t="s">
        <v>412</v>
      </c>
      <c r="V38" s="230">
        <f>V36*0.65</f>
        <v>3.1980000000000001E-2</v>
      </c>
      <c r="AB38" s="23"/>
      <c r="AP38" s="239">
        <f>$V36</f>
        <v>4.9200000000000001E-2</v>
      </c>
      <c r="AQ38" s="237">
        <f>AQ37/AG$10</f>
        <v>0.41025641025641024</v>
      </c>
      <c r="AR38" s="237">
        <f>AR37/AG$10</f>
        <v>0.4358974358974359</v>
      </c>
      <c r="AS38" s="237">
        <f>AS37/AG$10</f>
        <v>0.46153846153846156</v>
      </c>
      <c r="AT38" s="237">
        <f>AT37/AG$10</f>
        <v>0.48717948717948717</v>
      </c>
      <c r="AU38" s="237">
        <f>AU37/AG$10</f>
        <v>0.51282051282051277</v>
      </c>
    </row>
    <row r="39" spans="9:47">
      <c r="I39" s="23"/>
      <c r="J39" s="22"/>
      <c r="K39" s="23">
        <v>100000</v>
      </c>
      <c r="L39" s="19">
        <f t="shared" si="14"/>
        <v>73952.631578947359</v>
      </c>
      <c r="M39" s="19">
        <f t="shared" si="14"/>
        <v>76980.952380952382</v>
      </c>
      <c r="N39" s="19">
        <f t="shared" si="14"/>
        <v>92311.111111111109</v>
      </c>
      <c r="O39" s="19">
        <f t="shared" si="14"/>
        <v>84300</v>
      </c>
      <c r="P39" s="19">
        <f t="shared" si="15"/>
        <v>80069</v>
      </c>
      <c r="Q39" s="19">
        <f t="shared" si="15"/>
        <v>103869</v>
      </c>
      <c r="R39" s="19">
        <f t="shared" si="15"/>
        <v>125119</v>
      </c>
      <c r="T39" s="18">
        <f t="shared" si="16"/>
        <v>66612.2</v>
      </c>
      <c r="U39" s="6" t="s">
        <v>394</v>
      </c>
      <c r="V39" s="230">
        <f>V31</f>
        <v>1.4800000000000001E-2</v>
      </c>
      <c r="AB39" s="23"/>
      <c r="AP39" s="238">
        <f>$V31</f>
        <v>1.4800000000000001E-2</v>
      </c>
      <c r="AQ39" s="239">
        <f t="shared" ref="AQ39:AU39" si="17">$V36</f>
        <v>4.9200000000000001E-2</v>
      </c>
      <c r="AR39" s="239">
        <f t="shared" si="17"/>
        <v>4.9200000000000001E-2</v>
      </c>
      <c r="AS39" s="239">
        <f t="shared" si="17"/>
        <v>4.9200000000000001E-2</v>
      </c>
      <c r="AT39" s="239">
        <f t="shared" si="17"/>
        <v>4.9200000000000001E-2</v>
      </c>
      <c r="AU39" s="239">
        <f t="shared" si="17"/>
        <v>4.9200000000000001E-2</v>
      </c>
    </row>
    <row r="40" spans="9:47">
      <c r="I40" s="23"/>
      <c r="J40" s="1"/>
      <c r="K40" s="1"/>
      <c r="L40" s="90"/>
      <c r="M40" s="90"/>
      <c r="N40" s="90"/>
      <c r="O40" s="90"/>
      <c r="P40" s="90"/>
      <c r="Q40" s="90"/>
      <c r="R40" s="90"/>
      <c r="S40" s="90"/>
      <c r="T40" s="90"/>
      <c r="AB40" s="23"/>
      <c r="AP40" s="73">
        <f t="shared" ref="AP40:AU41" si="18">SUM(AP37:AP39)</f>
        <v>0.44861538461538464</v>
      </c>
      <c r="AQ40" s="238">
        <f t="shared" ref="AQ40:AU40" si="19">$V31</f>
        <v>1.4800000000000001E-2</v>
      </c>
      <c r="AR40" s="238">
        <f t="shared" si="19"/>
        <v>1.4800000000000001E-2</v>
      </c>
      <c r="AS40" s="238">
        <f t="shared" si="19"/>
        <v>1.4800000000000001E-2</v>
      </c>
      <c r="AT40" s="238">
        <f t="shared" si="19"/>
        <v>1.4800000000000001E-2</v>
      </c>
      <c r="AU40" s="238">
        <f t="shared" si="19"/>
        <v>1.4800000000000001E-2</v>
      </c>
    </row>
    <row r="41" spans="9:47">
      <c r="AB41" s="23"/>
      <c r="AQ41" s="73">
        <f t="shared" si="18"/>
        <v>0.47425641025641024</v>
      </c>
      <c r="AR41" s="73">
        <f t="shared" si="18"/>
        <v>0.4998974358974359</v>
      </c>
      <c r="AS41" s="73">
        <f t="shared" si="18"/>
        <v>0.52553846153846162</v>
      </c>
      <c r="AT41" s="73">
        <f t="shared" si="18"/>
        <v>0.55117948717948717</v>
      </c>
      <c r="AU41" s="73">
        <f t="shared" si="18"/>
        <v>0.57682051282051283</v>
      </c>
    </row>
    <row r="42" spans="9:47">
      <c r="AB42" s="23"/>
    </row>
    <row r="43" spans="9:47">
      <c r="W43" s="1"/>
    </row>
    <row r="52" spans="5:53">
      <c r="AB52" s="242"/>
      <c r="AC52" s="242"/>
      <c r="AD52" s="242"/>
      <c r="AE52" s="242"/>
      <c r="AF52" s="242"/>
      <c r="AG52" s="242"/>
      <c r="AH52" s="242"/>
      <c r="AI52" s="243"/>
    </row>
    <row r="53" spans="5:53">
      <c r="AA53" s="241" t="s">
        <v>438</v>
      </c>
      <c r="AB53" t="s">
        <v>437</v>
      </c>
      <c r="AC53" t="s">
        <v>436</v>
      </c>
      <c r="AD53" t="s">
        <v>58</v>
      </c>
      <c r="AE53" t="s">
        <v>435</v>
      </c>
      <c r="AF53" t="s">
        <v>434</v>
      </c>
      <c r="AH53" s="11"/>
      <c r="AI53" s="11"/>
    </row>
    <row r="54" spans="5:53">
      <c r="E54" s="262"/>
      <c r="F54" s="263"/>
      <c r="G54" s="263"/>
      <c r="H54" s="263"/>
      <c r="I54" s="263"/>
      <c r="AA54" s="244"/>
      <c r="AB54" s="9">
        <f>AVERAGE(J82:J86)</f>
        <v>31273</v>
      </c>
      <c r="AC54">
        <f>AVERAGE(K82:K86)</f>
        <v>7.4</v>
      </c>
      <c r="AD54" t="s">
        <v>59</v>
      </c>
      <c r="AE54" t="s">
        <v>433</v>
      </c>
      <c r="AF54">
        <f>AVERAGE(N82:N86)</f>
        <v>27</v>
      </c>
    </row>
    <row r="55" spans="5:53">
      <c r="E55" s="263"/>
      <c r="F55" s="263"/>
      <c r="G55" s="263"/>
      <c r="H55" s="263"/>
      <c r="I55" s="263"/>
      <c r="AA55" s="15" t="s">
        <v>439</v>
      </c>
    </row>
    <row r="56" spans="5:53">
      <c r="E56" s="263"/>
      <c r="F56" s="263"/>
      <c r="G56" s="263"/>
      <c r="H56" s="263"/>
      <c r="I56" s="263"/>
      <c r="AB56" s="245" t="s">
        <v>430</v>
      </c>
      <c r="AC56" s="237">
        <v>1</v>
      </c>
      <c r="AD56" s="237">
        <v>1</v>
      </c>
      <c r="AE56" s="237">
        <v>2</v>
      </c>
      <c r="AF56" s="237">
        <v>2.5</v>
      </c>
      <c r="AG56" s="237">
        <v>3</v>
      </c>
      <c r="AH56" s="237">
        <v>3.5</v>
      </c>
      <c r="AI56" s="237">
        <v>4</v>
      </c>
      <c r="AJ56" s="237">
        <v>4.5</v>
      </c>
      <c r="AK56" s="237">
        <v>5</v>
      </c>
      <c r="AL56" s="237">
        <v>5.5</v>
      </c>
      <c r="AM56" s="237">
        <v>6</v>
      </c>
      <c r="AN56" s="237">
        <v>6.5</v>
      </c>
      <c r="AO56" s="237">
        <v>7</v>
      </c>
      <c r="AP56" s="237">
        <v>7.5</v>
      </c>
      <c r="AQ56" s="237">
        <v>8</v>
      </c>
      <c r="AR56" s="237">
        <v>8.5</v>
      </c>
      <c r="AS56" s="237">
        <v>9</v>
      </c>
      <c r="AT56" s="237">
        <v>9.5</v>
      </c>
      <c r="AU56" s="237">
        <v>10</v>
      </c>
    </row>
    <row r="57" spans="5:53">
      <c r="E57" s="263"/>
      <c r="F57" s="263"/>
      <c r="G57" s="263"/>
      <c r="H57" s="263"/>
      <c r="I57" s="263"/>
      <c r="AB57" s="245" t="s">
        <v>440</v>
      </c>
      <c r="AC57" s="237">
        <f>AC56/$AF54</f>
        <v>3.7037037037037035E-2</v>
      </c>
      <c r="AD57" s="237">
        <f t="shared" ref="AD57:AO57" si="20">AD56/$AF54</f>
        <v>3.7037037037037035E-2</v>
      </c>
      <c r="AE57" s="237">
        <f t="shared" si="20"/>
        <v>7.407407407407407E-2</v>
      </c>
      <c r="AF57" s="237">
        <f t="shared" si="20"/>
        <v>9.2592592592592587E-2</v>
      </c>
      <c r="AG57" s="237">
        <f t="shared" si="20"/>
        <v>0.1111111111111111</v>
      </c>
      <c r="AH57" s="237">
        <f t="shared" si="20"/>
        <v>0.12962962962962962</v>
      </c>
      <c r="AI57" s="237">
        <f t="shared" si="20"/>
        <v>0.14814814814814814</v>
      </c>
      <c r="AJ57" s="237">
        <f t="shared" si="20"/>
        <v>0.16666666666666666</v>
      </c>
      <c r="AK57" s="237">
        <f t="shared" si="20"/>
        <v>0.18518518518518517</v>
      </c>
      <c r="AL57" s="237">
        <f t="shared" si="20"/>
        <v>0.20370370370370369</v>
      </c>
      <c r="AM57" s="237">
        <f t="shared" si="20"/>
        <v>0.22222222222222221</v>
      </c>
      <c r="AN57" s="237">
        <f t="shared" si="20"/>
        <v>0.24074074074074073</v>
      </c>
      <c r="AO57" s="237">
        <f t="shared" si="20"/>
        <v>0.25925925925925924</v>
      </c>
      <c r="AP57" s="237">
        <f t="shared" ref="AP57:AU57" si="21">AP56/$AF54</f>
        <v>0.27777777777777779</v>
      </c>
      <c r="AQ57" s="237">
        <f t="shared" si="21"/>
        <v>0.29629629629629628</v>
      </c>
      <c r="AR57" s="237">
        <f t="shared" si="21"/>
        <v>0.31481481481481483</v>
      </c>
      <c r="AS57" s="237">
        <f t="shared" si="21"/>
        <v>0.33333333333333331</v>
      </c>
      <c r="AT57" s="237">
        <f t="shared" si="21"/>
        <v>0.35185185185185186</v>
      </c>
      <c r="AU57" s="237">
        <f t="shared" si="21"/>
        <v>0.37037037037037035</v>
      </c>
    </row>
    <row r="58" spans="5:53">
      <c r="E58" s="263"/>
      <c r="F58" s="263"/>
      <c r="G58" s="263"/>
      <c r="H58" s="263"/>
      <c r="I58" s="263"/>
      <c r="AB58" s="245" t="s">
        <v>25</v>
      </c>
      <c r="AC58" s="239">
        <f>AC16</f>
        <v>4.9200000000000001E-2</v>
      </c>
      <c r="AD58" s="239">
        <f t="shared" ref="AD58:AO58" si="22">AD16</f>
        <v>4.9200000000000001E-2</v>
      </c>
      <c r="AE58" s="239">
        <f t="shared" si="22"/>
        <v>4.9200000000000001E-2</v>
      </c>
      <c r="AF58" s="239">
        <f t="shared" si="22"/>
        <v>4.9200000000000001E-2</v>
      </c>
      <c r="AG58" s="239">
        <f t="shared" si="22"/>
        <v>4.9200000000000001E-2</v>
      </c>
      <c r="AH58" s="239">
        <f t="shared" si="22"/>
        <v>4.9200000000000001E-2</v>
      </c>
      <c r="AI58" s="239">
        <f t="shared" si="22"/>
        <v>4.9200000000000001E-2</v>
      </c>
      <c r="AJ58" s="239">
        <f t="shared" si="22"/>
        <v>4.9200000000000001E-2</v>
      </c>
      <c r="AK58" s="239">
        <f t="shared" si="22"/>
        <v>4.9200000000000001E-2</v>
      </c>
      <c r="AL58" s="239">
        <f t="shared" si="22"/>
        <v>4.9200000000000001E-2</v>
      </c>
      <c r="AM58" s="239">
        <f t="shared" si="22"/>
        <v>4.9200000000000001E-2</v>
      </c>
      <c r="AN58" s="239">
        <f t="shared" si="22"/>
        <v>4.9200000000000001E-2</v>
      </c>
      <c r="AO58" s="239">
        <f t="shared" si="22"/>
        <v>4.9200000000000001E-2</v>
      </c>
      <c r="AP58" s="239">
        <v>4.9000000000000002E-2</v>
      </c>
      <c r="AQ58" s="239">
        <v>4.9000000000000002E-2</v>
      </c>
      <c r="AR58" s="239">
        <v>4.9000000000000002E-2</v>
      </c>
      <c r="AS58" s="239">
        <v>4.9000000000000002E-2</v>
      </c>
      <c r="AT58" s="239">
        <v>4.9000000000000002E-2</v>
      </c>
      <c r="AU58" s="239">
        <v>4.9000000000000002E-2</v>
      </c>
      <c r="AV58" s="238"/>
      <c r="AX58" t="s">
        <v>464</v>
      </c>
    </row>
    <row r="59" spans="5:53" ht="56">
      <c r="E59" s="263"/>
      <c r="F59" s="263"/>
      <c r="G59" s="263"/>
      <c r="H59" s="263"/>
      <c r="I59" s="263"/>
      <c r="AB59" s="245" t="s">
        <v>26</v>
      </c>
      <c r="AC59" s="238">
        <f>AC17</f>
        <v>1.4800000000000001E-2</v>
      </c>
      <c r="AD59" s="238">
        <f t="shared" ref="AD59:AO59" si="23">AD17</f>
        <v>1.4800000000000001E-2</v>
      </c>
      <c r="AE59" s="238">
        <f t="shared" si="23"/>
        <v>1.4800000000000001E-2</v>
      </c>
      <c r="AF59" s="238">
        <f t="shared" si="23"/>
        <v>1.4800000000000001E-2</v>
      </c>
      <c r="AG59" s="238">
        <f t="shared" si="23"/>
        <v>1.4800000000000001E-2</v>
      </c>
      <c r="AH59" s="238">
        <f t="shared" si="23"/>
        <v>1.4800000000000001E-2</v>
      </c>
      <c r="AI59" s="238">
        <f t="shared" si="23"/>
        <v>1.4800000000000001E-2</v>
      </c>
      <c r="AJ59" s="238">
        <f t="shared" si="23"/>
        <v>1.4800000000000001E-2</v>
      </c>
      <c r="AK59" s="238">
        <f t="shared" si="23"/>
        <v>1.4800000000000001E-2</v>
      </c>
      <c r="AL59" s="238">
        <f t="shared" si="23"/>
        <v>1.4800000000000001E-2</v>
      </c>
      <c r="AM59" s="238">
        <f t="shared" si="23"/>
        <v>1.4800000000000001E-2</v>
      </c>
      <c r="AN59" s="238">
        <f t="shared" si="23"/>
        <v>1.4800000000000001E-2</v>
      </c>
      <c r="AO59" s="238">
        <f t="shared" si="23"/>
        <v>1.4800000000000001E-2</v>
      </c>
      <c r="AP59" s="238">
        <v>1.4999999999999999E-2</v>
      </c>
      <c r="AQ59" s="238">
        <v>1.4999999999999999E-2</v>
      </c>
      <c r="AR59" s="238">
        <v>1.4999999999999999E-2</v>
      </c>
      <c r="AS59" s="238">
        <v>1.4999999999999999E-2</v>
      </c>
      <c r="AT59" s="238">
        <v>1.4999999999999999E-2</v>
      </c>
      <c r="AU59" s="238">
        <v>1.4999999999999999E-2</v>
      </c>
      <c r="AW59" s="193" t="s">
        <v>463</v>
      </c>
      <c r="AX59" s="193" t="s">
        <v>375</v>
      </c>
      <c r="AY59" s="193" t="s">
        <v>376</v>
      </c>
      <c r="AZ59" s="193" t="s">
        <v>377</v>
      </c>
    </row>
    <row r="60" spans="5:53">
      <c r="G60" s="1"/>
      <c r="AB60" s="208" t="s">
        <v>441</v>
      </c>
      <c r="AC60" s="240">
        <f>SUM(AC57:AC59)</f>
        <v>0.10103703703703704</v>
      </c>
      <c r="AD60" s="240">
        <f t="shared" ref="AD60:AU60" si="24">SUM(AD57:AD59)</f>
        <v>0.10103703703703704</v>
      </c>
      <c r="AE60" s="240">
        <f t="shared" si="24"/>
        <v>0.13807407407407407</v>
      </c>
      <c r="AF60" s="240">
        <f t="shared" si="24"/>
        <v>0.15659259259259259</v>
      </c>
      <c r="AG60" s="240">
        <f t="shared" si="24"/>
        <v>0.17511111111111111</v>
      </c>
      <c r="AH60" s="240">
        <f t="shared" si="24"/>
        <v>0.19362962962962962</v>
      </c>
      <c r="AI60" s="240">
        <f t="shared" si="24"/>
        <v>0.21214814814814814</v>
      </c>
      <c r="AJ60" s="240">
        <f t="shared" si="24"/>
        <v>0.23066666666666666</v>
      </c>
      <c r="AK60" s="240">
        <f t="shared" si="24"/>
        <v>0.24918518518518518</v>
      </c>
      <c r="AL60" s="240">
        <f t="shared" si="24"/>
        <v>0.26770370370370367</v>
      </c>
      <c r="AM60" s="240">
        <f t="shared" si="24"/>
        <v>0.28622222222222221</v>
      </c>
      <c r="AN60" s="240">
        <f t="shared" si="24"/>
        <v>0.3047407407407407</v>
      </c>
      <c r="AO60" s="240">
        <f t="shared" si="24"/>
        <v>0.32325925925925925</v>
      </c>
      <c r="AP60" s="240">
        <f t="shared" si="24"/>
        <v>0.34177777777777779</v>
      </c>
      <c r="AQ60" s="240">
        <f t="shared" si="24"/>
        <v>0.36029629629629628</v>
      </c>
      <c r="AR60" s="240">
        <f t="shared" si="24"/>
        <v>0.37881481481481483</v>
      </c>
      <c r="AS60" s="240">
        <f t="shared" si="24"/>
        <v>0.39733333333333332</v>
      </c>
      <c r="AT60" s="240">
        <f t="shared" si="24"/>
        <v>0.41585185185185186</v>
      </c>
      <c r="AU60" s="240">
        <f t="shared" si="24"/>
        <v>0.43437037037037035</v>
      </c>
      <c r="AW60" s="18">
        <v>30000</v>
      </c>
      <c r="AX60" s="18">
        <v>30000</v>
      </c>
      <c r="AY60" s="18">
        <v>39800</v>
      </c>
      <c r="AZ60" s="18">
        <v>48550</v>
      </c>
      <c r="BA60" s="18"/>
    </row>
    <row r="61" spans="5:53">
      <c r="AB61" s="28">
        <v>0</v>
      </c>
      <c r="AC61" s="73">
        <f t="shared" ref="AC61:AU61" si="25">$AB54</f>
        <v>31273</v>
      </c>
      <c r="AD61" s="73">
        <f t="shared" si="25"/>
        <v>31273</v>
      </c>
      <c r="AE61" s="73">
        <f t="shared" si="25"/>
        <v>31273</v>
      </c>
      <c r="AF61" s="73">
        <f t="shared" si="25"/>
        <v>31273</v>
      </c>
      <c r="AG61" s="73">
        <f t="shared" si="25"/>
        <v>31273</v>
      </c>
      <c r="AH61" s="73">
        <f t="shared" si="25"/>
        <v>31273</v>
      </c>
      <c r="AI61" s="73">
        <f t="shared" si="25"/>
        <v>31273</v>
      </c>
      <c r="AJ61" s="73">
        <f t="shared" si="25"/>
        <v>31273</v>
      </c>
      <c r="AK61" s="73">
        <f t="shared" si="25"/>
        <v>31273</v>
      </c>
      <c r="AL61" s="73">
        <f t="shared" si="25"/>
        <v>31273</v>
      </c>
      <c r="AM61" s="73">
        <f t="shared" si="25"/>
        <v>31273</v>
      </c>
      <c r="AN61" s="73">
        <f t="shared" si="25"/>
        <v>31273</v>
      </c>
      <c r="AO61" s="73">
        <f t="shared" si="25"/>
        <v>31273</v>
      </c>
      <c r="AP61" s="73">
        <f t="shared" si="25"/>
        <v>31273</v>
      </c>
      <c r="AQ61" s="73">
        <f t="shared" si="25"/>
        <v>31273</v>
      </c>
      <c r="AR61" s="73">
        <f t="shared" si="25"/>
        <v>31273</v>
      </c>
      <c r="AS61" s="73">
        <f t="shared" si="25"/>
        <v>31273</v>
      </c>
      <c r="AT61" s="73">
        <f t="shared" si="25"/>
        <v>31273</v>
      </c>
      <c r="AU61" s="73">
        <f t="shared" si="25"/>
        <v>31273</v>
      </c>
      <c r="AW61" s="18">
        <v>31861.22</v>
      </c>
      <c r="AX61" s="18">
        <v>32240.25</v>
      </c>
      <c r="AY61" s="18">
        <v>43020.25</v>
      </c>
      <c r="AZ61" s="18">
        <v>52645.25</v>
      </c>
      <c r="BA61" s="18"/>
    </row>
    <row r="62" spans="5:53">
      <c r="AA62" s="21" t="s">
        <v>29</v>
      </c>
      <c r="AB62" s="23">
        <v>10000</v>
      </c>
      <c r="AC62" s="73">
        <f>AC$61+(($AB62)*(AC$60))</f>
        <v>32283.370370370369</v>
      </c>
      <c r="AD62" s="73">
        <f t="shared" ref="AD62:AS71" si="26">AD$61+(($AB62)*(AD$60))</f>
        <v>32283.370370370369</v>
      </c>
      <c r="AE62" s="73">
        <f t="shared" si="26"/>
        <v>32653.740740740741</v>
      </c>
      <c r="AF62" s="73">
        <f t="shared" si="26"/>
        <v>32838.925925925927</v>
      </c>
      <c r="AG62" s="73">
        <f t="shared" si="26"/>
        <v>33024.111111111109</v>
      </c>
      <c r="AH62" s="73">
        <f t="shared" si="26"/>
        <v>33209.296296296299</v>
      </c>
      <c r="AI62" s="73">
        <f t="shared" si="26"/>
        <v>33394.481481481482</v>
      </c>
      <c r="AJ62" s="73">
        <f t="shared" si="26"/>
        <v>33579.666666666664</v>
      </c>
      <c r="AK62" s="73">
        <f t="shared" si="26"/>
        <v>33764.851851851854</v>
      </c>
      <c r="AL62" s="73">
        <f t="shared" si="26"/>
        <v>33950.037037037036</v>
      </c>
      <c r="AM62" s="73">
        <f t="shared" si="26"/>
        <v>34135.222222222219</v>
      </c>
      <c r="AN62" s="73">
        <f t="shared" si="26"/>
        <v>34320.407407407409</v>
      </c>
      <c r="AO62" s="73">
        <f t="shared" si="26"/>
        <v>34505.592592592591</v>
      </c>
      <c r="AP62" s="73">
        <f t="shared" si="26"/>
        <v>34690.777777777781</v>
      </c>
      <c r="AQ62" s="73">
        <f t="shared" si="26"/>
        <v>34875.962962962964</v>
      </c>
      <c r="AR62" s="73">
        <f t="shared" si="26"/>
        <v>35061.148148148146</v>
      </c>
      <c r="AS62" s="73">
        <f t="shared" si="26"/>
        <v>35246.333333333336</v>
      </c>
      <c r="AT62" s="73">
        <f t="shared" ref="AT62:AU71" si="27">AT$61+(($AB62)*(AT$60))</f>
        <v>35431.518518518518</v>
      </c>
      <c r="AU62" s="73">
        <f t="shared" si="27"/>
        <v>35616.703703703701</v>
      </c>
      <c r="AW62" s="18">
        <v>33722.44</v>
      </c>
      <c r="AX62" s="18">
        <v>34480.5</v>
      </c>
      <c r="AY62" s="18">
        <v>46240.5</v>
      </c>
      <c r="AZ62" s="18">
        <v>56740.5</v>
      </c>
      <c r="BA62" s="18"/>
    </row>
    <row r="63" spans="5:53">
      <c r="M63" s="1"/>
      <c r="AA63" s="21" t="s">
        <v>29</v>
      </c>
      <c r="AB63" s="23">
        <v>20000</v>
      </c>
      <c r="AC63" s="73">
        <f t="shared" ref="AC63:AC71" si="28">AC$61+(($AB63)*(AC$60))</f>
        <v>33293.740740740737</v>
      </c>
      <c r="AD63" s="73">
        <f t="shared" si="26"/>
        <v>33293.740740740737</v>
      </c>
      <c r="AE63" s="73">
        <f t="shared" si="26"/>
        <v>34034.481481481482</v>
      </c>
      <c r="AF63" s="73">
        <f t="shared" si="26"/>
        <v>34404.851851851854</v>
      </c>
      <c r="AG63" s="73">
        <f t="shared" si="26"/>
        <v>34775.222222222219</v>
      </c>
      <c r="AH63" s="73">
        <f t="shared" si="26"/>
        <v>35145.592592592591</v>
      </c>
      <c r="AI63" s="73">
        <f t="shared" si="26"/>
        <v>35515.962962962964</v>
      </c>
      <c r="AJ63" s="73">
        <f t="shared" si="26"/>
        <v>35886.333333333336</v>
      </c>
      <c r="AK63" s="73">
        <f t="shared" si="26"/>
        <v>36256.703703703701</v>
      </c>
      <c r="AL63" s="73">
        <f t="shared" si="26"/>
        <v>36627.074074074073</v>
      </c>
      <c r="AM63" s="73">
        <f t="shared" si="26"/>
        <v>36997.444444444445</v>
      </c>
      <c r="AN63" s="73">
        <f t="shared" si="26"/>
        <v>37367.814814814818</v>
      </c>
      <c r="AO63" s="73">
        <f t="shared" si="26"/>
        <v>37738.185185185182</v>
      </c>
      <c r="AP63" s="73">
        <f t="shared" si="26"/>
        <v>38108.555555555555</v>
      </c>
      <c r="AQ63" s="73">
        <f t="shared" si="26"/>
        <v>38478.925925925927</v>
      </c>
      <c r="AR63" s="73">
        <f t="shared" si="26"/>
        <v>38849.296296296299</v>
      </c>
      <c r="AS63" s="73">
        <f t="shared" si="26"/>
        <v>39219.666666666664</v>
      </c>
      <c r="AT63" s="73">
        <f t="shared" si="27"/>
        <v>39590.037037037036</v>
      </c>
      <c r="AU63" s="73">
        <f t="shared" si="27"/>
        <v>39960.407407407409</v>
      </c>
      <c r="AW63" s="18">
        <v>35583.660000000003</v>
      </c>
      <c r="AX63" s="18">
        <v>36720.75</v>
      </c>
      <c r="AY63" s="18">
        <v>49460.75</v>
      </c>
      <c r="AZ63" s="18">
        <v>60835.75</v>
      </c>
      <c r="BA63" s="18"/>
    </row>
    <row r="64" spans="5:53">
      <c r="AA64" s="21" t="s">
        <v>29</v>
      </c>
      <c r="AB64" s="23">
        <v>30000</v>
      </c>
      <c r="AC64" s="73">
        <f t="shared" si="28"/>
        <v>34304.111111111109</v>
      </c>
      <c r="AD64" s="73">
        <f t="shared" si="26"/>
        <v>34304.111111111109</v>
      </c>
      <c r="AE64" s="73">
        <f t="shared" si="26"/>
        <v>35415.222222222219</v>
      </c>
      <c r="AF64" s="73">
        <f t="shared" si="26"/>
        <v>35970.777777777781</v>
      </c>
      <c r="AG64" s="73">
        <f t="shared" si="26"/>
        <v>36526.333333333336</v>
      </c>
      <c r="AH64" s="73">
        <f t="shared" si="26"/>
        <v>37081.888888888891</v>
      </c>
      <c r="AI64" s="73">
        <f t="shared" si="26"/>
        <v>37637.444444444445</v>
      </c>
      <c r="AJ64" s="73">
        <f t="shared" si="26"/>
        <v>38193</v>
      </c>
      <c r="AK64" s="73">
        <f t="shared" si="26"/>
        <v>38748.555555555555</v>
      </c>
      <c r="AL64" s="73">
        <f t="shared" si="26"/>
        <v>39304.111111111109</v>
      </c>
      <c r="AM64" s="73">
        <f t="shared" si="26"/>
        <v>39859.666666666664</v>
      </c>
      <c r="AN64" s="73">
        <f t="shared" si="26"/>
        <v>40415.222222222219</v>
      </c>
      <c r="AO64" s="73">
        <f t="shared" si="26"/>
        <v>40970.777777777781</v>
      </c>
      <c r="AP64" s="73">
        <f t="shared" si="26"/>
        <v>41526.333333333336</v>
      </c>
      <c r="AQ64" s="73">
        <f t="shared" si="26"/>
        <v>42081.888888888891</v>
      </c>
      <c r="AR64" s="73">
        <f t="shared" si="26"/>
        <v>42637.444444444445</v>
      </c>
      <c r="AS64" s="73">
        <f t="shared" si="26"/>
        <v>43193</v>
      </c>
      <c r="AT64" s="73">
        <f t="shared" si="27"/>
        <v>43748.555555555555</v>
      </c>
      <c r="AU64" s="73">
        <f t="shared" si="27"/>
        <v>44304.111111111109</v>
      </c>
      <c r="AW64" s="18">
        <v>37444.879999999997</v>
      </c>
      <c r="AX64" s="18">
        <v>38961</v>
      </c>
      <c r="AY64" s="18">
        <v>52681</v>
      </c>
      <c r="AZ64" s="18">
        <v>64931</v>
      </c>
      <c r="BA64" s="18"/>
    </row>
    <row r="65" spans="9:53">
      <c r="AA65" s="21" t="s">
        <v>29</v>
      </c>
      <c r="AB65" s="23">
        <v>40000</v>
      </c>
      <c r="AC65" s="73">
        <f t="shared" si="28"/>
        <v>35314.481481481482</v>
      </c>
      <c r="AD65" s="73">
        <f t="shared" si="26"/>
        <v>35314.481481481482</v>
      </c>
      <c r="AE65" s="73">
        <f t="shared" si="26"/>
        <v>36795.962962962964</v>
      </c>
      <c r="AF65" s="73">
        <f t="shared" si="26"/>
        <v>37536.703703703701</v>
      </c>
      <c r="AG65" s="73">
        <f t="shared" si="26"/>
        <v>38277.444444444445</v>
      </c>
      <c r="AH65" s="73">
        <f t="shared" si="26"/>
        <v>39018.185185185182</v>
      </c>
      <c r="AI65" s="73">
        <f t="shared" si="26"/>
        <v>39758.925925925927</v>
      </c>
      <c r="AJ65" s="73">
        <f t="shared" si="26"/>
        <v>40499.666666666664</v>
      </c>
      <c r="AK65" s="73">
        <f t="shared" si="26"/>
        <v>41240.407407407409</v>
      </c>
      <c r="AL65" s="73">
        <f t="shared" si="26"/>
        <v>41981.148148148146</v>
      </c>
      <c r="AM65" s="73">
        <f t="shared" si="26"/>
        <v>42721.888888888891</v>
      </c>
      <c r="AN65" s="73">
        <f t="shared" si="26"/>
        <v>43462.629629629628</v>
      </c>
      <c r="AO65" s="73">
        <f t="shared" si="26"/>
        <v>44203.370370370372</v>
      </c>
      <c r="AP65" s="73">
        <f t="shared" si="26"/>
        <v>44944.111111111109</v>
      </c>
      <c r="AQ65" s="73">
        <f t="shared" si="26"/>
        <v>45684.851851851854</v>
      </c>
      <c r="AR65" s="73">
        <f t="shared" si="26"/>
        <v>46425.592592592591</v>
      </c>
      <c r="AS65" s="73">
        <f t="shared" si="26"/>
        <v>47166.333333333328</v>
      </c>
      <c r="AT65" s="73">
        <f t="shared" si="27"/>
        <v>47907.074074074073</v>
      </c>
      <c r="AU65" s="73">
        <f t="shared" si="27"/>
        <v>48647.814814814818</v>
      </c>
      <c r="AW65" s="18">
        <v>39306.1</v>
      </c>
      <c r="AX65" s="18">
        <v>41201.25</v>
      </c>
      <c r="AY65" s="18">
        <v>55901.25</v>
      </c>
      <c r="AZ65" s="18">
        <v>69026.25</v>
      </c>
      <c r="BA65" s="18"/>
    </row>
    <row r="66" spans="9:53">
      <c r="AA66" s="21" t="s">
        <v>29</v>
      </c>
      <c r="AB66" s="23">
        <v>50000</v>
      </c>
      <c r="AC66" s="73">
        <f t="shared" si="28"/>
        <v>36324.851851851854</v>
      </c>
      <c r="AD66" s="73">
        <f t="shared" si="26"/>
        <v>36324.851851851854</v>
      </c>
      <c r="AE66" s="73">
        <f t="shared" si="26"/>
        <v>38176.703703703701</v>
      </c>
      <c r="AF66" s="73">
        <f t="shared" si="26"/>
        <v>39102.629629629628</v>
      </c>
      <c r="AG66" s="73">
        <f t="shared" si="26"/>
        <v>40028.555555555555</v>
      </c>
      <c r="AH66" s="73">
        <f t="shared" si="26"/>
        <v>40954.481481481482</v>
      </c>
      <c r="AI66" s="73">
        <f t="shared" si="26"/>
        <v>41880.407407407409</v>
      </c>
      <c r="AJ66" s="73">
        <f t="shared" si="26"/>
        <v>42806.333333333328</v>
      </c>
      <c r="AK66" s="73">
        <f t="shared" si="26"/>
        <v>43732.259259259255</v>
      </c>
      <c r="AL66" s="73">
        <f t="shared" si="26"/>
        <v>44658.185185185182</v>
      </c>
      <c r="AM66" s="73">
        <f t="shared" si="26"/>
        <v>45584.111111111109</v>
      </c>
      <c r="AN66" s="73">
        <f t="shared" si="26"/>
        <v>46510.037037037036</v>
      </c>
      <c r="AO66" s="73">
        <f t="shared" si="26"/>
        <v>47435.962962962964</v>
      </c>
      <c r="AP66" s="73">
        <f t="shared" si="26"/>
        <v>48361.888888888891</v>
      </c>
      <c r="AQ66" s="73">
        <f t="shared" si="26"/>
        <v>49287.814814814818</v>
      </c>
      <c r="AR66" s="73">
        <f t="shared" si="26"/>
        <v>50213.740740740745</v>
      </c>
      <c r="AS66" s="73">
        <f t="shared" si="26"/>
        <v>51139.666666666664</v>
      </c>
      <c r="AT66" s="73">
        <f t="shared" si="27"/>
        <v>52065.592592592599</v>
      </c>
      <c r="AU66" s="73">
        <f t="shared" si="27"/>
        <v>52991.518518518518</v>
      </c>
      <c r="AW66" s="18">
        <v>41167.32</v>
      </c>
      <c r="AX66" s="18">
        <v>43441.5</v>
      </c>
      <c r="AY66" s="18">
        <v>59121.5</v>
      </c>
      <c r="AZ66" s="18">
        <v>73121.5</v>
      </c>
      <c r="BA66" s="18"/>
    </row>
    <row r="67" spans="9:53">
      <c r="AA67" s="21" t="s">
        <v>29</v>
      </c>
      <c r="AB67" s="23">
        <v>60000</v>
      </c>
      <c r="AC67" s="73">
        <f t="shared" si="28"/>
        <v>37335.222222222219</v>
      </c>
      <c r="AD67" s="73">
        <f t="shared" si="26"/>
        <v>37335.222222222219</v>
      </c>
      <c r="AE67" s="73">
        <f t="shared" si="26"/>
        <v>39557.444444444445</v>
      </c>
      <c r="AF67" s="73">
        <f t="shared" si="26"/>
        <v>40668.555555555555</v>
      </c>
      <c r="AG67" s="73">
        <f t="shared" si="26"/>
        <v>41779.666666666664</v>
      </c>
      <c r="AH67" s="73">
        <f t="shared" si="26"/>
        <v>42890.777777777781</v>
      </c>
      <c r="AI67" s="73">
        <f t="shared" si="26"/>
        <v>44001.888888888891</v>
      </c>
      <c r="AJ67" s="73">
        <f t="shared" si="26"/>
        <v>45113</v>
      </c>
      <c r="AK67" s="73">
        <f t="shared" si="26"/>
        <v>46224.111111111109</v>
      </c>
      <c r="AL67" s="73">
        <f t="shared" si="26"/>
        <v>47335.222222222219</v>
      </c>
      <c r="AM67" s="73">
        <f t="shared" si="26"/>
        <v>48446.333333333328</v>
      </c>
      <c r="AN67" s="73">
        <f t="shared" si="26"/>
        <v>49557.444444444438</v>
      </c>
      <c r="AO67" s="73">
        <f t="shared" si="26"/>
        <v>50668.555555555555</v>
      </c>
      <c r="AP67" s="73">
        <f t="shared" si="26"/>
        <v>51779.666666666672</v>
      </c>
      <c r="AQ67" s="73">
        <f t="shared" si="26"/>
        <v>52890.777777777781</v>
      </c>
      <c r="AR67" s="73">
        <f t="shared" si="26"/>
        <v>54001.888888888891</v>
      </c>
      <c r="AS67" s="73">
        <f t="shared" si="26"/>
        <v>55113</v>
      </c>
      <c r="AT67" s="73">
        <f t="shared" si="27"/>
        <v>56224.111111111109</v>
      </c>
      <c r="AU67" s="73">
        <f t="shared" si="27"/>
        <v>57335.222222222219</v>
      </c>
      <c r="AW67" s="18">
        <v>43028.54</v>
      </c>
      <c r="AX67" s="18">
        <v>45681.75</v>
      </c>
      <c r="AY67" s="18">
        <v>62341.75</v>
      </c>
      <c r="AZ67" s="18">
        <v>77216.75</v>
      </c>
      <c r="BA67" s="18"/>
    </row>
    <row r="68" spans="9:53">
      <c r="AA68" s="21" t="s">
        <v>29</v>
      </c>
      <c r="AB68" s="23">
        <v>70000</v>
      </c>
      <c r="AC68" s="73">
        <f t="shared" si="28"/>
        <v>38345.592592592591</v>
      </c>
      <c r="AD68" s="73">
        <f t="shared" si="26"/>
        <v>38345.592592592591</v>
      </c>
      <c r="AE68" s="73">
        <f t="shared" si="26"/>
        <v>40938.185185185182</v>
      </c>
      <c r="AF68" s="73">
        <f t="shared" si="26"/>
        <v>42234.481481481482</v>
      </c>
      <c r="AG68" s="73">
        <f t="shared" si="26"/>
        <v>43530.777777777781</v>
      </c>
      <c r="AH68" s="73">
        <f t="shared" si="26"/>
        <v>44827.074074074073</v>
      </c>
      <c r="AI68" s="73">
        <f t="shared" si="26"/>
        <v>46123.370370370372</v>
      </c>
      <c r="AJ68" s="73">
        <f t="shared" si="26"/>
        <v>47419.666666666664</v>
      </c>
      <c r="AK68" s="73">
        <f t="shared" si="26"/>
        <v>48715.962962962964</v>
      </c>
      <c r="AL68" s="73">
        <f t="shared" si="26"/>
        <v>50012.259259259255</v>
      </c>
      <c r="AM68" s="73">
        <f t="shared" si="26"/>
        <v>51308.555555555555</v>
      </c>
      <c r="AN68" s="73">
        <f t="shared" si="26"/>
        <v>52604.851851851854</v>
      </c>
      <c r="AO68" s="73">
        <f t="shared" si="26"/>
        <v>53901.148148148146</v>
      </c>
      <c r="AP68" s="73">
        <f t="shared" si="26"/>
        <v>55197.444444444445</v>
      </c>
      <c r="AQ68" s="73">
        <f t="shared" si="26"/>
        <v>56493.740740740745</v>
      </c>
      <c r="AR68" s="73">
        <f t="shared" si="26"/>
        <v>57790.037037037036</v>
      </c>
      <c r="AS68" s="73">
        <f t="shared" si="26"/>
        <v>59086.333333333328</v>
      </c>
      <c r="AT68" s="73">
        <f t="shared" si="27"/>
        <v>60382.629629629635</v>
      </c>
      <c r="AU68" s="73">
        <f t="shared" si="27"/>
        <v>61678.925925925927</v>
      </c>
      <c r="AW68" s="18">
        <v>44889.760000000002</v>
      </c>
      <c r="AX68" s="18">
        <v>47922</v>
      </c>
      <c r="AY68" s="18">
        <v>65562</v>
      </c>
      <c r="AZ68" s="18">
        <v>81312</v>
      </c>
      <c r="BA68" s="18"/>
    </row>
    <row r="69" spans="9:53">
      <c r="AA69" s="21" t="s">
        <v>29</v>
      </c>
      <c r="AB69" s="23">
        <v>80000</v>
      </c>
      <c r="AC69" s="73">
        <f t="shared" si="28"/>
        <v>39355.962962962964</v>
      </c>
      <c r="AD69" s="73">
        <f t="shared" si="26"/>
        <v>39355.962962962964</v>
      </c>
      <c r="AE69" s="73">
        <f t="shared" si="26"/>
        <v>42318.925925925927</v>
      </c>
      <c r="AF69" s="73">
        <f t="shared" si="26"/>
        <v>43800.407407407409</v>
      </c>
      <c r="AG69" s="73">
        <f t="shared" si="26"/>
        <v>45281.888888888891</v>
      </c>
      <c r="AH69" s="73">
        <f t="shared" si="26"/>
        <v>46763.370370370372</v>
      </c>
      <c r="AI69" s="73">
        <f t="shared" si="26"/>
        <v>48244.851851851854</v>
      </c>
      <c r="AJ69" s="73">
        <f t="shared" si="26"/>
        <v>49726.333333333328</v>
      </c>
      <c r="AK69" s="73">
        <f t="shared" si="26"/>
        <v>51207.814814814818</v>
      </c>
      <c r="AL69" s="73">
        <f t="shared" si="26"/>
        <v>52689.296296296292</v>
      </c>
      <c r="AM69" s="73">
        <f t="shared" si="26"/>
        <v>54170.777777777781</v>
      </c>
      <c r="AN69" s="73">
        <f t="shared" si="26"/>
        <v>55652.259259259255</v>
      </c>
      <c r="AO69" s="73">
        <f t="shared" si="26"/>
        <v>57133.740740740745</v>
      </c>
      <c r="AP69" s="73">
        <f t="shared" si="26"/>
        <v>58615.222222222219</v>
      </c>
      <c r="AQ69" s="73">
        <f t="shared" si="26"/>
        <v>60096.703703703701</v>
      </c>
      <c r="AR69" s="73">
        <f t="shared" si="26"/>
        <v>61578.185185185182</v>
      </c>
      <c r="AS69" s="73">
        <f t="shared" si="26"/>
        <v>63059.666666666664</v>
      </c>
      <c r="AT69" s="73">
        <f t="shared" si="27"/>
        <v>64541.148148148146</v>
      </c>
      <c r="AU69" s="73">
        <f t="shared" si="27"/>
        <v>66022.629629629635</v>
      </c>
      <c r="AW69" s="18">
        <v>46750.979999999996</v>
      </c>
      <c r="AX69" s="18">
        <v>50162.25</v>
      </c>
      <c r="AY69" s="18">
        <v>68782.25</v>
      </c>
      <c r="AZ69" s="18">
        <v>85407.25</v>
      </c>
      <c r="BA69" s="18"/>
    </row>
    <row r="70" spans="9:53">
      <c r="AA70" s="21" t="s">
        <v>29</v>
      </c>
      <c r="AB70" s="23">
        <v>90000</v>
      </c>
      <c r="AC70" s="73">
        <f t="shared" si="28"/>
        <v>40366.333333333336</v>
      </c>
      <c r="AD70" s="73">
        <f t="shared" si="26"/>
        <v>40366.333333333336</v>
      </c>
      <c r="AE70" s="73">
        <f t="shared" si="26"/>
        <v>43699.666666666664</v>
      </c>
      <c r="AF70" s="73">
        <f t="shared" si="26"/>
        <v>45366.333333333328</v>
      </c>
      <c r="AG70" s="73">
        <f t="shared" si="26"/>
        <v>47033</v>
      </c>
      <c r="AH70" s="73">
        <f t="shared" si="26"/>
        <v>48699.666666666672</v>
      </c>
      <c r="AI70" s="73">
        <f t="shared" si="26"/>
        <v>50366.333333333328</v>
      </c>
      <c r="AJ70" s="73">
        <f t="shared" si="26"/>
        <v>52033</v>
      </c>
      <c r="AK70" s="73">
        <f t="shared" si="26"/>
        <v>53699.666666666664</v>
      </c>
      <c r="AL70" s="73">
        <f t="shared" si="26"/>
        <v>55366.333333333328</v>
      </c>
      <c r="AM70" s="73">
        <f t="shared" si="26"/>
        <v>57033</v>
      </c>
      <c r="AN70" s="73">
        <f t="shared" si="26"/>
        <v>58699.666666666664</v>
      </c>
      <c r="AO70" s="73">
        <f t="shared" si="26"/>
        <v>60366.333333333328</v>
      </c>
      <c r="AP70" s="73">
        <f t="shared" si="26"/>
        <v>62033</v>
      </c>
      <c r="AQ70" s="73">
        <f t="shared" si="26"/>
        <v>63699.666666666664</v>
      </c>
      <c r="AR70" s="73">
        <f t="shared" si="26"/>
        <v>65366.333333333336</v>
      </c>
      <c r="AS70" s="73">
        <f t="shared" si="26"/>
        <v>67033</v>
      </c>
      <c r="AT70" s="73">
        <f t="shared" si="27"/>
        <v>68699.666666666657</v>
      </c>
      <c r="AU70" s="73">
        <f t="shared" si="27"/>
        <v>70366.333333333328</v>
      </c>
      <c r="AW70" s="18">
        <v>48612.2</v>
      </c>
      <c r="AX70" s="18">
        <v>52402.5</v>
      </c>
      <c r="AY70" s="18">
        <v>72002.5</v>
      </c>
      <c r="AZ70" s="18">
        <v>89502.5</v>
      </c>
      <c r="BA70" s="18"/>
    </row>
    <row r="71" spans="9:53">
      <c r="I71" s="219"/>
      <c r="AA71" s="21" t="s">
        <v>29</v>
      </c>
      <c r="AB71" s="23">
        <v>100000</v>
      </c>
      <c r="AC71" s="73">
        <f t="shared" si="28"/>
        <v>41376.703703703708</v>
      </c>
      <c r="AD71" s="73">
        <f t="shared" si="26"/>
        <v>41376.703703703708</v>
      </c>
      <c r="AE71" s="73">
        <f t="shared" si="26"/>
        <v>45080.407407407409</v>
      </c>
      <c r="AF71" s="73">
        <f t="shared" si="26"/>
        <v>46932.259259259255</v>
      </c>
      <c r="AG71" s="73">
        <f t="shared" si="26"/>
        <v>48784.111111111109</v>
      </c>
      <c r="AH71" s="73">
        <f t="shared" si="26"/>
        <v>50635.962962962964</v>
      </c>
      <c r="AI71" s="73">
        <f t="shared" si="26"/>
        <v>52487.814814814818</v>
      </c>
      <c r="AJ71" s="73">
        <f t="shared" si="26"/>
        <v>54339.666666666664</v>
      </c>
      <c r="AK71" s="73">
        <f t="shared" si="26"/>
        <v>56191.518518518518</v>
      </c>
      <c r="AL71" s="73">
        <f t="shared" si="26"/>
        <v>58043.370370370365</v>
      </c>
      <c r="AM71" s="73">
        <f t="shared" si="26"/>
        <v>59895.222222222219</v>
      </c>
      <c r="AN71" s="73">
        <f t="shared" si="26"/>
        <v>61747.074074074073</v>
      </c>
      <c r="AO71" s="73">
        <f t="shared" si="26"/>
        <v>63598.925925925927</v>
      </c>
      <c r="AP71" s="73">
        <f t="shared" si="26"/>
        <v>65450.777777777781</v>
      </c>
      <c r="AQ71" s="73">
        <f t="shared" si="26"/>
        <v>67302.629629629635</v>
      </c>
      <c r="AR71" s="73">
        <f t="shared" si="26"/>
        <v>69154.481481481489</v>
      </c>
      <c r="AS71" s="73">
        <f t="shared" si="26"/>
        <v>71006.333333333328</v>
      </c>
      <c r="AT71" s="73">
        <f t="shared" si="27"/>
        <v>72858.185185185197</v>
      </c>
      <c r="AU71" s="73">
        <f t="shared" si="27"/>
        <v>74710.037037037036</v>
      </c>
    </row>
    <row r="72" spans="9:53">
      <c r="AA72" s="21" t="s">
        <v>29</v>
      </c>
      <c r="AC72" s="73"/>
      <c r="AD72" s="73"/>
      <c r="AE72" s="73"/>
      <c r="AF72" s="73"/>
      <c r="AG72" s="73"/>
      <c r="AH72" s="73"/>
      <c r="AI72" s="73"/>
      <c r="AJ72" s="73"/>
      <c r="AK72" s="73"/>
      <c r="AL72" s="73"/>
      <c r="AM72" s="73"/>
      <c r="AN72" s="73"/>
      <c r="AO72" s="248"/>
    </row>
    <row r="73" spans="9:53">
      <c r="Q73">
        <f>185*4</f>
        <v>740</v>
      </c>
      <c r="R73">
        <f>Q73/50000</f>
        <v>1.4800000000000001E-2</v>
      </c>
      <c r="AA73" s="21"/>
    </row>
    <row r="74" spans="9:53">
      <c r="Q74" s="1"/>
    </row>
    <row r="78" spans="9:53">
      <c r="I78" s="254" t="s">
        <v>63</v>
      </c>
      <c r="J78" s="255"/>
      <c r="K78" s="255"/>
      <c r="L78" s="255"/>
      <c r="M78" s="255"/>
      <c r="N78" s="255"/>
      <c r="O78" s="255"/>
      <c r="P78" s="255"/>
      <c r="Q78" s="11"/>
    </row>
    <row r="79" spans="9:53">
      <c r="I79" s="6"/>
      <c r="J79" s="35" t="s">
        <v>57</v>
      </c>
      <c r="K79" s="6" t="s">
        <v>28</v>
      </c>
      <c r="L79" s="6" t="s">
        <v>58</v>
      </c>
      <c r="M79" s="6" t="s">
        <v>43</v>
      </c>
      <c r="N79" s="6" t="s">
        <v>44</v>
      </c>
      <c r="O79" s="6" t="s">
        <v>18</v>
      </c>
      <c r="P79" s="6" t="s">
        <v>351</v>
      </c>
      <c r="Q79" s="190"/>
    </row>
    <row r="80" spans="9:53">
      <c r="I80" s="6" t="s">
        <v>338</v>
      </c>
      <c r="J80" s="36">
        <v>30000</v>
      </c>
      <c r="K80" s="6" t="s">
        <v>73</v>
      </c>
      <c r="L80" s="6" t="s">
        <v>59</v>
      </c>
      <c r="M80" s="6" t="s">
        <v>287</v>
      </c>
      <c r="N80" s="6" t="s">
        <v>21</v>
      </c>
      <c r="O80" s="6" t="s">
        <v>12</v>
      </c>
      <c r="P80" s="7">
        <f>(32.91*0.1)/100</f>
        <v>3.2910000000000002E-2</v>
      </c>
      <c r="Q80" s="78"/>
    </row>
    <row r="81" spans="9:25">
      <c r="Q81" s="133"/>
    </row>
    <row r="82" spans="9:25">
      <c r="I82" s="6" t="s">
        <v>68</v>
      </c>
      <c r="J82" s="37">
        <v>33600</v>
      </c>
      <c r="K82" s="6">
        <v>7.1</v>
      </c>
      <c r="L82" s="6" t="s">
        <v>59</v>
      </c>
      <c r="M82" s="38" t="s">
        <v>71</v>
      </c>
      <c r="N82" s="6">
        <v>18</v>
      </c>
      <c r="O82" s="7" t="s">
        <v>13</v>
      </c>
      <c r="P82" s="7">
        <f>(5.33/$N82)</f>
        <v>0.2961111111111111</v>
      </c>
      <c r="Q82" s="78"/>
    </row>
    <row r="83" spans="9:25">
      <c r="I83" s="6" t="s">
        <v>77</v>
      </c>
      <c r="J83" s="37">
        <v>33150</v>
      </c>
      <c r="K83" s="6">
        <v>6.9</v>
      </c>
      <c r="L83" s="6" t="s">
        <v>59</v>
      </c>
      <c r="M83" s="6" t="s">
        <v>72</v>
      </c>
      <c r="N83" s="6">
        <v>22</v>
      </c>
      <c r="O83" s="7" t="s">
        <v>13</v>
      </c>
      <c r="P83" s="7">
        <f t="shared" ref="P83:P84" si="29">(5.33/N83)</f>
        <v>0.24227272727272728</v>
      </c>
      <c r="Q83" s="78"/>
    </row>
    <row r="84" spans="9:25">
      <c r="I84" s="38" t="s">
        <v>76</v>
      </c>
      <c r="J84" s="37">
        <v>31450</v>
      </c>
      <c r="K84" s="38">
        <v>7.1</v>
      </c>
      <c r="L84" s="38" t="s">
        <v>59</v>
      </c>
      <c r="M84" s="38" t="s">
        <v>78</v>
      </c>
      <c r="N84" s="6">
        <v>23</v>
      </c>
      <c r="O84" s="7" t="s">
        <v>13</v>
      </c>
      <c r="P84" s="7">
        <f t="shared" si="29"/>
        <v>0.23173913043478261</v>
      </c>
      <c r="Q84" s="78"/>
    </row>
    <row r="85" spans="9:25">
      <c r="I85" s="6" t="s">
        <v>331</v>
      </c>
      <c r="J85" s="37">
        <v>30095</v>
      </c>
      <c r="K85" s="6">
        <v>6.1</v>
      </c>
      <c r="L85" s="6" t="s">
        <v>59</v>
      </c>
      <c r="M85" s="6" t="s">
        <v>333</v>
      </c>
      <c r="N85" s="6">
        <v>22</v>
      </c>
      <c r="O85" s="7" t="s">
        <v>13</v>
      </c>
      <c r="P85" s="7">
        <f>(5.33/N85)</f>
        <v>0.24227272727272728</v>
      </c>
      <c r="Q85" s="78"/>
    </row>
    <row r="86" spans="9:25">
      <c r="I86" s="6" t="s">
        <v>66</v>
      </c>
      <c r="J86" s="37">
        <v>28070</v>
      </c>
      <c r="K86" s="6">
        <v>9.8000000000000007</v>
      </c>
      <c r="L86" s="6" t="s">
        <v>59</v>
      </c>
      <c r="M86" s="6" t="s">
        <v>65</v>
      </c>
      <c r="N86" s="6">
        <v>50</v>
      </c>
      <c r="O86" s="7" t="s">
        <v>13</v>
      </c>
      <c r="P86" s="7">
        <f>(5.33/N86)</f>
        <v>0.1066</v>
      </c>
      <c r="Q86" s="78"/>
    </row>
    <row r="88" spans="9:25">
      <c r="I88" s="264" t="s">
        <v>382</v>
      </c>
      <c r="J88" s="265"/>
      <c r="K88" s="265"/>
      <c r="L88" s="265"/>
      <c r="M88" s="265"/>
      <c r="N88" s="265"/>
      <c r="O88" s="265"/>
      <c r="P88" s="266"/>
    </row>
    <row r="89" spans="9:25">
      <c r="I89" s="203" t="s">
        <v>352</v>
      </c>
      <c r="J89" s="260" t="s">
        <v>353</v>
      </c>
      <c r="K89" s="261"/>
      <c r="L89" s="11" t="s">
        <v>346</v>
      </c>
      <c r="M89" s="195" t="s">
        <v>344</v>
      </c>
      <c r="N89" s="195" t="s">
        <v>347</v>
      </c>
      <c r="O89" s="195" t="s">
        <v>348</v>
      </c>
      <c r="P89" s="196" t="s">
        <v>349</v>
      </c>
    </row>
    <row r="90" spans="9:25">
      <c r="I90" s="203" t="s">
        <v>341</v>
      </c>
      <c r="J90" s="194" t="s">
        <v>340</v>
      </c>
      <c r="K90" s="195" t="s">
        <v>345</v>
      </c>
      <c r="L90" s="195">
        <v>250</v>
      </c>
      <c r="M90" s="11">
        <f>P90/J91</f>
        <v>7.5</v>
      </c>
      <c r="N90" s="13">
        <f>(K91/M90)</f>
        <v>6.666666666666667</v>
      </c>
      <c r="O90" s="204">
        <f>L90/M90</f>
        <v>33.333333333333336</v>
      </c>
      <c r="P90" s="196">
        <v>300</v>
      </c>
    </row>
    <row r="91" spans="9:25">
      <c r="I91" s="120">
        <v>365</v>
      </c>
      <c r="J91" s="195">
        <v>40</v>
      </c>
      <c r="K91" s="195">
        <v>50</v>
      </c>
      <c r="L91" s="195"/>
      <c r="M91" s="11"/>
      <c r="N91" s="11" t="s">
        <v>350</v>
      </c>
      <c r="O91" s="11" t="s">
        <v>383</v>
      </c>
      <c r="P91" s="205"/>
    </row>
    <row r="92" spans="9:25">
      <c r="I92" s="206"/>
      <c r="J92" s="207"/>
      <c r="K92" s="207"/>
      <c r="L92" s="208"/>
      <c r="M92" s="207"/>
      <c r="N92" s="209">
        <f>N90/O90</f>
        <v>0.19999999999999998</v>
      </c>
      <c r="O92" s="209">
        <v>0.8</v>
      </c>
      <c r="P92" s="210"/>
    </row>
    <row r="94" spans="9:25">
      <c r="W94" s="258"/>
      <c r="X94" s="259"/>
      <c r="Y94" s="259"/>
    </row>
    <row r="95" spans="9:25">
      <c r="Q95" s="29" t="s">
        <v>36</v>
      </c>
      <c r="R95" s="184" t="s">
        <v>330</v>
      </c>
      <c r="U95" s="103"/>
      <c r="V95" s="200"/>
    </row>
    <row r="96" spans="9:25" ht="32.25" customHeight="1">
      <c r="L96" s="195" t="s">
        <v>379</v>
      </c>
      <c r="M96" s="195" t="s">
        <v>76</v>
      </c>
      <c r="N96" s="195" t="s">
        <v>68</v>
      </c>
      <c r="O96" s="195" t="s">
        <v>378</v>
      </c>
      <c r="P96" s="194" t="s">
        <v>384</v>
      </c>
      <c r="R96" s="193" t="s">
        <v>375</v>
      </c>
      <c r="S96" s="193" t="s">
        <v>376</v>
      </c>
      <c r="T96" s="193" t="s">
        <v>376</v>
      </c>
      <c r="U96" s="193" t="s">
        <v>377</v>
      </c>
      <c r="V96" s="31"/>
      <c r="W96" s="31"/>
      <c r="X96" s="32"/>
      <c r="Y96" s="32"/>
    </row>
    <row r="97" spans="9:25">
      <c r="K97" s="15" t="s">
        <v>28</v>
      </c>
      <c r="L97" s="195" t="s">
        <v>335</v>
      </c>
      <c r="M97" s="195" t="s">
        <v>69</v>
      </c>
      <c r="N97" s="195" t="s">
        <v>69</v>
      </c>
      <c r="O97" s="194" t="s">
        <v>380</v>
      </c>
      <c r="P97" s="6" t="s">
        <v>67</v>
      </c>
      <c r="R97" s="6" t="s">
        <v>381</v>
      </c>
      <c r="S97" s="6" t="s">
        <v>381</v>
      </c>
      <c r="T97" s="6" t="s">
        <v>14</v>
      </c>
      <c r="U97" s="6" t="s">
        <v>381</v>
      </c>
      <c r="V97" s="189"/>
      <c r="W97" s="189"/>
      <c r="X97" s="189"/>
      <c r="Y97" s="189"/>
    </row>
    <row r="98" spans="9:25">
      <c r="K98" s="14" t="s">
        <v>22</v>
      </c>
      <c r="L98" s="13">
        <f>P85</f>
        <v>0.24227272727272728</v>
      </c>
      <c r="M98" s="13">
        <f>P84</f>
        <v>0.23173913043478261</v>
      </c>
      <c r="N98" s="13">
        <f>P82</f>
        <v>0.2961111111111111</v>
      </c>
      <c r="O98" s="13">
        <f>P83</f>
        <v>0.24227272727272728</v>
      </c>
      <c r="P98" s="107">
        <f>P86</f>
        <v>0.1066</v>
      </c>
      <c r="R98" s="185">
        <f>$P80</f>
        <v>3.2910000000000002E-2</v>
      </c>
      <c r="S98" s="185">
        <f t="shared" ref="S98:T98" si="30">$P80</f>
        <v>3.2910000000000002E-2</v>
      </c>
      <c r="T98" s="185">
        <f t="shared" si="30"/>
        <v>3.2910000000000002E-2</v>
      </c>
      <c r="U98" s="185">
        <f>$P80</f>
        <v>3.2910000000000002E-2</v>
      </c>
      <c r="V98" s="188"/>
      <c r="W98" s="187"/>
      <c r="Y98" s="188"/>
    </row>
    <row r="99" spans="9:25">
      <c r="K99" s="15" t="s">
        <v>25</v>
      </c>
      <c r="L99" s="185">
        <f>$V35</f>
        <v>4.5100000000000001E-2</v>
      </c>
      <c r="M99" s="185">
        <f>$V35</f>
        <v>4.5100000000000001E-2</v>
      </c>
      <c r="N99" s="185">
        <f>$V35</f>
        <v>4.5100000000000001E-2</v>
      </c>
      <c r="O99" s="185">
        <f>$V35</f>
        <v>4.5100000000000001E-2</v>
      </c>
      <c r="P99" s="185">
        <f>$V35</f>
        <v>4.5100000000000001E-2</v>
      </c>
      <c r="R99" s="185">
        <f>W20/100000+V37</f>
        <v>0.176315</v>
      </c>
      <c r="S99" s="188">
        <f>X20/100000</f>
        <v>0.245</v>
      </c>
      <c r="T99" s="188">
        <f>X20/100000+V37</f>
        <v>0.27431499999999998</v>
      </c>
      <c r="U99" s="188">
        <f>Y20/100000+V37</f>
        <v>0.361815</v>
      </c>
      <c r="V99" s="189"/>
      <c r="W99" s="189"/>
      <c r="Y99" s="189"/>
    </row>
    <row r="100" spans="9:25">
      <c r="K100" s="15" t="s">
        <v>26</v>
      </c>
      <c r="L100" s="13">
        <f t="shared" ref="L100:U100" si="31">$V31</f>
        <v>1.4800000000000001E-2</v>
      </c>
      <c r="M100" s="13">
        <f t="shared" si="31"/>
        <v>1.4800000000000001E-2</v>
      </c>
      <c r="N100" s="13">
        <f t="shared" si="31"/>
        <v>1.4800000000000001E-2</v>
      </c>
      <c r="O100" s="13">
        <f t="shared" si="31"/>
        <v>1.4800000000000001E-2</v>
      </c>
      <c r="P100" s="13">
        <f t="shared" si="31"/>
        <v>1.4800000000000001E-2</v>
      </c>
      <c r="R100" s="13">
        <f t="shared" si="31"/>
        <v>1.4800000000000001E-2</v>
      </c>
      <c r="S100" s="13">
        <f t="shared" si="31"/>
        <v>1.4800000000000001E-2</v>
      </c>
      <c r="T100" s="13">
        <f t="shared" si="31"/>
        <v>1.4800000000000001E-2</v>
      </c>
      <c r="U100" s="13">
        <f t="shared" si="31"/>
        <v>1.4800000000000001E-2</v>
      </c>
      <c r="V100" s="98"/>
      <c r="W100" s="98"/>
      <c r="Y100" s="98"/>
    </row>
    <row r="101" spans="9:25">
      <c r="K101" s="24" t="s">
        <v>27</v>
      </c>
      <c r="L101" s="25">
        <f>SUM(L98:L100)</f>
        <v>0.30217272727272726</v>
      </c>
      <c r="M101" s="25">
        <f t="shared" ref="M101:O101" si="32">SUM(M98:M100)</f>
        <v>0.29163913043478257</v>
      </c>
      <c r="N101" s="25">
        <f t="shared" si="32"/>
        <v>0.35601111111111111</v>
      </c>
      <c r="O101" s="25">
        <f t="shared" si="32"/>
        <v>0.30217272727272726</v>
      </c>
      <c r="P101" s="90">
        <f t="shared" ref="P101:U101" si="33">SUM(P98:P100)</f>
        <v>0.16650000000000001</v>
      </c>
      <c r="R101" s="25">
        <f t="shared" si="33"/>
        <v>0.224025</v>
      </c>
      <c r="S101" s="25">
        <f t="shared" si="33"/>
        <v>0.29270999999999997</v>
      </c>
      <c r="T101" s="25">
        <f t="shared" si="33"/>
        <v>0.32202499999999995</v>
      </c>
      <c r="U101" s="25">
        <f t="shared" si="33"/>
        <v>0.40952499999999997</v>
      </c>
      <c r="V101" s="201"/>
      <c r="W101" s="201"/>
      <c r="X101" s="202"/>
      <c r="Y101" s="201"/>
    </row>
    <row r="102" spans="9:25">
      <c r="I102" s="21" t="s">
        <v>29</v>
      </c>
      <c r="J102" s="22"/>
      <c r="K102" s="28">
        <v>0</v>
      </c>
      <c r="L102" s="19">
        <v>30095</v>
      </c>
      <c r="M102" s="19">
        <v>31450</v>
      </c>
      <c r="N102" s="19">
        <v>33600</v>
      </c>
      <c r="O102" s="19">
        <v>33150</v>
      </c>
      <c r="P102" s="211">
        <f>J86</f>
        <v>28070</v>
      </c>
      <c r="R102" s="18">
        <v>30000</v>
      </c>
      <c r="S102" s="18">
        <v>30000</v>
      </c>
      <c r="T102" s="18">
        <f>30000+(28*350)</f>
        <v>39800</v>
      </c>
      <c r="U102" s="18">
        <f>30000+(53*350)</f>
        <v>48550</v>
      </c>
      <c r="V102" s="18"/>
      <c r="W102" s="18"/>
      <c r="Y102" s="18"/>
    </row>
    <row r="103" spans="9:25">
      <c r="I103" s="21" t="s">
        <v>29</v>
      </c>
      <c r="J103" s="22"/>
      <c r="K103" s="23">
        <v>10000</v>
      </c>
      <c r="L103" s="19">
        <f t="shared" ref="L103:T112" si="34">L$102+((L$101)*($K103))</f>
        <v>33116.727272727272</v>
      </c>
      <c r="M103" s="19">
        <f t="shared" si="34"/>
        <v>34366.391304347824</v>
      </c>
      <c r="N103" s="19">
        <f t="shared" si="34"/>
        <v>37160.111111111109</v>
      </c>
      <c r="O103" s="19">
        <f t="shared" si="34"/>
        <v>36171.727272727272</v>
      </c>
      <c r="P103" s="212">
        <f t="shared" si="34"/>
        <v>29735</v>
      </c>
      <c r="R103" s="18">
        <f t="shared" si="34"/>
        <v>32240.25</v>
      </c>
      <c r="S103" s="18">
        <f t="shared" si="34"/>
        <v>32927.1</v>
      </c>
      <c r="T103" s="18">
        <f t="shared" si="34"/>
        <v>43020.25</v>
      </c>
      <c r="U103" s="18">
        <f t="shared" ref="U103:U112" si="35">U$102+((U$101)*($K103))</f>
        <v>52645.25</v>
      </c>
      <c r="V103" s="19"/>
      <c r="W103" s="19"/>
      <c r="Y103" s="19"/>
    </row>
    <row r="104" spans="9:25">
      <c r="I104" s="21" t="s">
        <v>29</v>
      </c>
      <c r="J104" s="22"/>
      <c r="K104" s="23">
        <v>20000</v>
      </c>
      <c r="L104" s="19">
        <f t="shared" ref="L104:P112" si="36">L$102+((L$101)*($K104))</f>
        <v>36138.454545454544</v>
      </c>
      <c r="M104" s="19">
        <f t="shared" si="36"/>
        <v>37282.782608695648</v>
      </c>
      <c r="N104" s="19">
        <f t="shared" si="36"/>
        <v>40720.222222222219</v>
      </c>
      <c r="O104" s="19">
        <f t="shared" si="36"/>
        <v>39193.454545454544</v>
      </c>
      <c r="P104" s="212">
        <f t="shared" si="36"/>
        <v>31400</v>
      </c>
      <c r="R104" s="18">
        <f t="shared" ref="R104:S112" si="37">R$102+((R$101)*($K104))</f>
        <v>34480.5</v>
      </c>
      <c r="S104" s="18">
        <f t="shared" si="37"/>
        <v>35854.199999999997</v>
      </c>
      <c r="T104" s="18">
        <f t="shared" si="34"/>
        <v>46240.5</v>
      </c>
      <c r="U104" s="18">
        <f t="shared" si="35"/>
        <v>56740.5</v>
      </c>
      <c r="V104" s="19"/>
      <c r="W104" s="19"/>
      <c r="Y104" s="19"/>
    </row>
    <row r="105" spans="9:25">
      <c r="I105" s="21" t="s">
        <v>29</v>
      </c>
      <c r="J105" s="22"/>
      <c r="K105" s="23">
        <v>30000</v>
      </c>
      <c r="L105" s="19">
        <f t="shared" si="36"/>
        <v>39160.181818181816</v>
      </c>
      <c r="M105" s="19">
        <f t="shared" si="36"/>
        <v>40199.173913043473</v>
      </c>
      <c r="N105" s="19">
        <f t="shared" si="36"/>
        <v>44280.333333333336</v>
      </c>
      <c r="O105" s="19">
        <f t="shared" si="36"/>
        <v>42215.181818181816</v>
      </c>
      <c r="P105" s="212">
        <f t="shared" si="36"/>
        <v>33065</v>
      </c>
      <c r="R105" s="18">
        <f t="shared" si="37"/>
        <v>36720.75</v>
      </c>
      <c r="S105" s="18">
        <f t="shared" si="37"/>
        <v>38781.300000000003</v>
      </c>
      <c r="T105" s="18">
        <f t="shared" si="34"/>
        <v>49460.75</v>
      </c>
      <c r="U105" s="18">
        <f t="shared" si="35"/>
        <v>60835.75</v>
      </c>
      <c r="V105" s="19"/>
      <c r="W105" s="19"/>
      <c r="Y105" s="19"/>
    </row>
    <row r="106" spans="9:25">
      <c r="I106" s="21" t="s">
        <v>29</v>
      </c>
      <c r="J106" s="22"/>
      <c r="K106" s="23">
        <v>40000</v>
      </c>
      <c r="L106" s="19">
        <f t="shared" si="36"/>
        <v>42181.909090909088</v>
      </c>
      <c r="M106" s="19">
        <f t="shared" si="36"/>
        <v>43115.565217391304</v>
      </c>
      <c r="N106" s="19">
        <f t="shared" si="36"/>
        <v>47840.444444444445</v>
      </c>
      <c r="O106" s="19">
        <f t="shared" si="36"/>
        <v>45236.909090909088</v>
      </c>
      <c r="P106" s="212">
        <f t="shared" si="36"/>
        <v>34730</v>
      </c>
      <c r="R106" s="18">
        <f t="shared" si="37"/>
        <v>38961</v>
      </c>
      <c r="S106" s="18">
        <f t="shared" si="37"/>
        <v>41708.400000000001</v>
      </c>
      <c r="T106" s="18">
        <f t="shared" si="34"/>
        <v>52681</v>
      </c>
      <c r="U106" s="18">
        <f t="shared" si="35"/>
        <v>64931</v>
      </c>
      <c r="V106" s="19"/>
      <c r="W106" s="19"/>
      <c r="Y106" s="19"/>
    </row>
    <row r="107" spans="9:25">
      <c r="I107" s="21" t="s">
        <v>29</v>
      </c>
      <c r="J107" s="22"/>
      <c r="K107" s="23">
        <v>50000</v>
      </c>
      <c r="L107" s="19">
        <f t="shared" si="36"/>
        <v>45203.63636363636</v>
      </c>
      <c r="M107" s="19">
        <f t="shared" si="36"/>
        <v>46031.956521739128</v>
      </c>
      <c r="N107" s="19">
        <f t="shared" si="36"/>
        <v>51400.555555555555</v>
      </c>
      <c r="O107" s="19">
        <f t="shared" si="36"/>
        <v>48258.63636363636</v>
      </c>
      <c r="P107" s="212">
        <f t="shared" si="36"/>
        <v>36395</v>
      </c>
      <c r="R107" s="18">
        <f t="shared" si="37"/>
        <v>41201.25</v>
      </c>
      <c r="S107" s="18">
        <f t="shared" si="37"/>
        <v>44635.5</v>
      </c>
      <c r="T107" s="18">
        <f t="shared" si="34"/>
        <v>55901.25</v>
      </c>
      <c r="U107" s="18">
        <f t="shared" si="35"/>
        <v>69026.25</v>
      </c>
      <c r="V107" s="19"/>
      <c r="W107" s="19"/>
      <c r="Y107" s="19"/>
    </row>
    <row r="108" spans="9:25">
      <c r="I108" s="21" t="s">
        <v>29</v>
      </c>
      <c r="J108" s="22"/>
      <c r="K108" s="23">
        <v>60000</v>
      </c>
      <c r="L108" s="19">
        <f t="shared" si="36"/>
        <v>48225.363636363632</v>
      </c>
      <c r="M108" s="19">
        <f t="shared" si="36"/>
        <v>48948.347826086952</v>
      </c>
      <c r="N108" s="19">
        <f t="shared" si="36"/>
        <v>54960.666666666672</v>
      </c>
      <c r="O108" s="19">
        <f t="shared" si="36"/>
        <v>51280.363636363632</v>
      </c>
      <c r="P108" s="212">
        <f t="shared" si="36"/>
        <v>38060</v>
      </c>
      <c r="R108" s="18">
        <f t="shared" si="37"/>
        <v>43441.5</v>
      </c>
      <c r="S108" s="18">
        <f t="shared" si="37"/>
        <v>47562.6</v>
      </c>
      <c r="T108" s="18">
        <f t="shared" si="34"/>
        <v>59121.5</v>
      </c>
      <c r="U108" s="18">
        <f t="shared" si="35"/>
        <v>73121.5</v>
      </c>
      <c r="V108" s="19"/>
      <c r="W108" s="19"/>
      <c r="Y108" s="19"/>
    </row>
    <row r="109" spans="9:25">
      <c r="I109" s="21" t="s">
        <v>29</v>
      </c>
      <c r="J109" s="22"/>
      <c r="K109" s="23">
        <v>70000</v>
      </c>
      <c r="L109" s="19">
        <f t="shared" si="36"/>
        <v>51247.090909090912</v>
      </c>
      <c r="M109" s="19">
        <f t="shared" si="36"/>
        <v>51864.739130434784</v>
      </c>
      <c r="N109" s="19">
        <f t="shared" si="36"/>
        <v>58520.777777777781</v>
      </c>
      <c r="O109" s="19">
        <f t="shared" si="36"/>
        <v>54302.090909090912</v>
      </c>
      <c r="P109" s="212">
        <f t="shared" si="36"/>
        <v>39725</v>
      </c>
      <c r="R109" s="18">
        <f t="shared" si="37"/>
        <v>45681.75</v>
      </c>
      <c r="S109" s="18">
        <f t="shared" si="37"/>
        <v>50489.7</v>
      </c>
      <c r="T109" s="18">
        <f t="shared" si="34"/>
        <v>62341.75</v>
      </c>
      <c r="U109" s="18">
        <f t="shared" si="35"/>
        <v>77216.75</v>
      </c>
      <c r="V109" s="19"/>
      <c r="W109" s="19"/>
      <c r="Y109" s="19"/>
    </row>
    <row r="110" spans="9:25">
      <c r="I110" s="21" t="s">
        <v>29</v>
      </c>
      <c r="J110" s="22"/>
      <c r="K110" s="23">
        <v>80000</v>
      </c>
      <c r="L110" s="19">
        <f t="shared" si="36"/>
        <v>54268.818181818177</v>
      </c>
      <c r="M110" s="19">
        <f t="shared" si="36"/>
        <v>54781.130434782608</v>
      </c>
      <c r="N110" s="19">
        <f t="shared" si="36"/>
        <v>62080.888888888891</v>
      </c>
      <c r="O110" s="19">
        <f t="shared" si="36"/>
        <v>57323.818181818177</v>
      </c>
      <c r="P110" s="212">
        <f t="shared" si="36"/>
        <v>41390</v>
      </c>
      <c r="R110" s="18">
        <f t="shared" si="37"/>
        <v>47922</v>
      </c>
      <c r="S110" s="18">
        <f t="shared" si="37"/>
        <v>53416.800000000003</v>
      </c>
      <c r="T110" s="18">
        <f t="shared" si="34"/>
        <v>65562</v>
      </c>
      <c r="U110" s="18">
        <f t="shared" si="35"/>
        <v>81312</v>
      </c>
      <c r="V110" s="19"/>
      <c r="W110" s="19"/>
      <c r="Y110" s="19"/>
    </row>
    <row r="111" spans="9:25">
      <c r="I111" s="21" t="s">
        <v>29</v>
      </c>
      <c r="J111" s="22"/>
      <c r="K111" s="23">
        <v>90000</v>
      </c>
      <c r="L111" s="19">
        <f t="shared" si="36"/>
        <v>57290.545454545456</v>
      </c>
      <c r="M111" s="19">
        <f t="shared" si="36"/>
        <v>57697.521739130432</v>
      </c>
      <c r="N111" s="19">
        <f t="shared" si="36"/>
        <v>65641</v>
      </c>
      <c r="O111" s="19">
        <f t="shared" si="36"/>
        <v>60345.545454545456</v>
      </c>
      <c r="P111" s="212">
        <f t="shared" si="36"/>
        <v>43055</v>
      </c>
      <c r="R111" s="18">
        <f t="shared" si="37"/>
        <v>50162.25</v>
      </c>
      <c r="S111" s="18">
        <f t="shared" si="37"/>
        <v>56343.899999999994</v>
      </c>
      <c r="T111" s="18">
        <f t="shared" si="34"/>
        <v>68782.25</v>
      </c>
      <c r="U111" s="18">
        <f t="shared" si="35"/>
        <v>85407.25</v>
      </c>
      <c r="V111" s="19"/>
      <c r="W111" s="19"/>
      <c r="Y111" s="19"/>
    </row>
    <row r="112" spans="9:25">
      <c r="I112" s="21" t="s">
        <v>29</v>
      </c>
      <c r="J112" s="22"/>
      <c r="K112" s="23">
        <v>100000</v>
      </c>
      <c r="L112" s="19">
        <f t="shared" si="36"/>
        <v>60312.272727272721</v>
      </c>
      <c r="M112" s="19">
        <f t="shared" si="36"/>
        <v>60613.913043478256</v>
      </c>
      <c r="N112" s="19">
        <f t="shared" si="36"/>
        <v>69201.111111111109</v>
      </c>
      <c r="O112" s="19">
        <f t="shared" si="36"/>
        <v>63367.272727272721</v>
      </c>
      <c r="P112" s="212">
        <f t="shared" si="36"/>
        <v>44720</v>
      </c>
      <c r="R112" s="18">
        <f t="shared" si="37"/>
        <v>52402.5</v>
      </c>
      <c r="S112" s="18">
        <f t="shared" si="37"/>
        <v>59271</v>
      </c>
      <c r="T112" s="18">
        <f t="shared" si="34"/>
        <v>72002.5</v>
      </c>
      <c r="U112" s="18">
        <f t="shared" si="35"/>
        <v>89502.5</v>
      </c>
      <c r="V112" s="19"/>
      <c r="W112" s="19"/>
      <c r="Y112" s="19"/>
    </row>
    <row r="153" spans="11:23">
      <c r="N153" t="s">
        <v>414</v>
      </c>
    </row>
    <row r="155" spans="11:23">
      <c r="M155" s="222">
        <v>2010</v>
      </c>
      <c r="N155" s="222">
        <v>2015</v>
      </c>
    </row>
    <row r="156" spans="11:23" ht="39" customHeight="1">
      <c r="M156" s="227" t="s">
        <v>424</v>
      </c>
      <c r="N156" s="227" t="s">
        <v>415</v>
      </c>
      <c r="O156" s="227" t="s">
        <v>416</v>
      </c>
      <c r="P156" s="227" t="s">
        <v>417</v>
      </c>
      <c r="Q156" s="227" t="s">
        <v>418</v>
      </c>
      <c r="R156" s="227" t="s">
        <v>419</v>
      </c>
      <c r="S156" s="227" t="s">
        <v>413</v>
      </c>
      <c r="T156" s="227" t="s">
        <v>420</v>
      </c>
      <c r="U156" s="227" t="s">
        <v>421</v>
      </c>
      <c r="V156" s="227" t="s">
        <v>422</v>
      </c>
      <c r="W156" s="227" t="s">
        <v>423</v>
      </c>
    </row>
    <row r="157" spans="11:23">
      <c r="M157" s="15" t="s">
        <v>28</v>
      </c>
      <c r="N157" s="183" t="s">
        <v>381</v>
      </c>
    </row>
    <row r="158" spans="11:23">
      <c r="K158" s="228"/>
      <c r="M158" s="14" t="s">
        <v>22</v>
      </c>
      <c r="N158" s="185">
        <f>$P80</f>
        <v>3.2910000000000002E-2</v>
      </c>
      <c r="O158" s="185">
        <f t="shared" ref="O158:T158" si="38">$P80</f>
        <v>3.2910000000000002E-2</v>
      </c>
      <c r="P158" s="185">
        <f t="shared" si="38"/>
        <v>3.2910000000000002E-2</v>
      </c>
      <c r="Q158" s="185">
        <f t="shared" si="38"/>
        <v>3.2910000000000002E-2</v>
      </c>
      <c r="R158" s="185">
        <f t="shared" si="38"/>
        <v>3.2910000000000002E-2</v>
      </c>
      <c r="S158" s="185">
        <f t="shared" si="38"/>
        <v>3.2910000000000002E-2</v>
      </c>
      <c r="T158" s="185">
        <f t="shared" si="38"/>
        <v>3.2910000000000002E-2</v>
      </c>
      <c r="U158" s="185">
        <f>$P80</f>
        <v>3.2910000000000002E-2</v>
      </c>
      <c r="V158" s="185">
        <f>$P80</f>
        <v>3.2910000000000002E-2</v>
      </c>
      <c r="W158" s="185">
        <f>$P80</f>
        <v>3.2910000000000002E-2</v>
      </c>
    </row>
    <row r="159" spans="11:23">
      <c r="M159" s="15" t="s">
        <v>25</v>
      </c>
      <c r="N159" s="188">
        <f>((350*95)/(100000))+$V37</f>
        <v>0.361815</v>
      </c>
      <c r="O159" s="188">
        <f>((325*95)/(100000))+$V37</f>
        <v>0.338065</v>
      </c>
      <c r="P159" s="188">
        <f>((300*95)/(100000))+$V37</f>
        <v>0.31431499999999996</v>
      </c>
      <c r="Q159" s="188">
        <f>((275*95)/(100000))+$V37</f>
        <v>0.29056499999999996</v>
      </c>
      <c r="R159" s="188">
        <f>((250*95)/(100000))+$V37</f>
        <v>0.26681499999999997</v>
      </c>
      <c r="S159" s="188">
        <f>((250*95)/(100000))+$V37</f>
        <v>0.26681499999999997</v>
      </c>
      <c r="T159" s="188">
        <f>((225*95)/(100000))+$V37</f>
        <v>0.243065</v>
      </c>
      <c r="U159" s="188">
        <f>((200*95)/(100000))+$V37</f>
        <v>0.21931500000000001</v>
      </c>
      <c r="V159" s="188">
        <f>((175*95)/(100000))+$V37</f>
        <v>0.19556500000000002</v>
      </c>
      <c r="W159" s="188">
        <f>((150*95)/(100000))+$V37</f>
        <v>0.171815</v>
      </c>
    </row>
    <row r="160" spans="11:23">
      <c r="M160" s="15" t="s">
        <v>26</v>
      </c>
      <c r="N160" s="13">
        <f t="shared" ref="N160:W160" si="39">$V31</f>
        <v>1.4800000000000001E-2</v>
      </c>
      <c r="O160" s="13">
        <f t="shared" si="39"/>
        <v>1.4800000000000001E-2</v>
      </c>
      <c r="P160" s="13">
        <f t="shared" si="39"/>
        <v>1.4800000000000001E-2</v>
      </c>
      <c r="Q160" s="13">
        <f t="shared" si="39"/>
        <v>1.4800000000000001E-2</v>
      </c>
      <c r="R160" s="13">
        <f t="shared" si="39"/>
        <v>1.4800000000000001E-2</v>
      </c>
      <c r="S160" s="13">
        <f t="shared" si="39"/>
        <v>1.4800000000000001E-2</v>
      </c>
      <c r="T160" s="13">
        <f t="shared" si="39"/>
        <v>1.4800000000000001E-2</v>
      </c>
      <c r="U160" s="13">
        <f t="shared" si="39"/>
        <v>1.4800000000000001E-2</v>
      </c>
      <c r="V160" s="13">
        <f t="shared" si="39"/>
        <v>1.4800000000000001E-2</v>
      </c>
      <c r="W160" s="13">
        <f t="shared" si="39"/>
        <v>1.4800000000000001E-2</v>
      </c>
    </row>
    <row r="161" spans="12:23">
      <c r="M161" s="24" t="s">
        <v>27</v>
      </c>
      <c r="N161" s="25">
        <f>SUM(N158:N160)</f>
        <v>0.40952499999999997</v>
      </c>
      <c r="O161" s="25">
        <f t="shared" ref="O161:W161" si="40">SUM(O158:O160)</f>
        <v>0.38577499999999998</v>
      </c>
      <c r="P161" s="25">
        <f t="shared" si="40"/>
        <v>0.36202499999999993</v>
      </c>
      <c r="Q161" s="25">
        <f t="shared" si="40"/>
        <v>0.33827499999999994</v>
      </c>
      <c r="R161" s="25">
        <f t="shared" si="40"/>
        <v>0.31452499999999994</v>
      </c>
      <c r="S161" s="25">
        <f t="shared" si="40"/>
        <v>0.31452499999999994</v>
      </c>
      <c r="T161" s="25">
        <f t="shared" si="40"/>
        <v>0.29077500000000001</v>
      </c>
      <c r="U161" s="25">
        <f t="shared" si="40"/>
        <v>0.26702500000000001</v>
      </c>
      <c r="V161" s="25">
        <f t="shared" si="40"/>
        <v>0.24327500000000002</v>
      </c>
      <c r="W161" s="25">
        <f t="shared" si="40"/>
        <v>0.219525</v>
      </c>
    </row>
    <row r="162" spans="12:23">
      <c r="M162" s="28">
        <v>0</v>
      </c>
      <c r="N162" s="18">
        <v>30000</v>
      </c>
      <c r="O162" s="18">
        <v>30000</v>
      </c>
      <c r="P162" s="18">
        <v>30000</v>
      </c>
      <c r="Q162" s="18">
        <v>30000</v>
      </c>
      <c r="R162" s="18">
        <v>30000</v>
      </c>
      <c r="S162" s="18">
        <v>30000</v>
      </c>
      <c r="T162" s="18">
        <v>30000</v>
      </c>
      <c r="U162" s="18">
        <v>30000</v>
      </c>
      <c r="V162" s="18">
        <v>30000</v>
      </c>
      <c r="W162" s="18">
        <v>30000</v>
      </c>
    </row>
    <row r="163" spans="12:23">
      <c r="M163" s="23">
        <v>10000</v>
      </c>
      <c r="N163" s="18">
        <f>N$162+((N$161)*($M163))</f>
        <v>34095.25</v>
      </c>
      <c r="O163" s="18">
        <f t="shared" ref="O163:T172" si="41">O$162+((O$161)*($M163))</f>
        <v>33857.75</v>
      </c>
      <c r="P163" s="18">
        <f t="shared" si="41"/>
        <v>33620.25</v>
      </c>
      <c r="Q163" s="18">
        <f t="shared" si="41"/>
        <v>33382.75</v>
      </c>
      <c r="R163" s="18">
        <f t="shared" si="41"/>
        <v>33145.25</v>
      </c>
      <c r="S163" s="18">
        <f t="shared" si="41"/>
        <v>33145.25</v>
      </c>
      <c r="T163" s="18">
        <f t="shared" si="41"/>
        <v>32907.75</v>
      </c>
      <c r="U163" s="18">
        <f t="shared" ref="U163:W172" si="42">U$162+((U$161)*($M163))</f>
        <v>32670.25</v>
      </c>
      <c r="V163" s="18">
        <f t="shared" si="42"/>
        <v>32432.75</v>
      </c>
      <c r="W163" s="18">
        <f t="shared" si="42"/>
        <v>32195.25</v>
      </c>
    </row>
    <row r="164" spans="12:23">
      <c r="M164" s="23">
        <v>20000</v>
      </c>
      <c r="N164" s="18">
        <f t="shared" ref="N164:N171" si="43">N$162+((N$161)*($M164))</f>
        <v>38190.5</v>
      </c>
      <c r="O164" s="18">
        <f t="shared" si="41"/>
        <v>37715.5</v>
      </c>
      <c r="P164" s="18">
        <f t="shared" si="41"/>
        <v>37240.5</v>
      </c>
      <c r="Q164" s="18">
        <f t="shared" si="41"/>
        <v>36765.5</v>
      </c>
      <c r="R164" s="18">
        <f t="shared" si="41"/>
        <v>36290.5</v>
      </c>
      <c r="S164" s="18">
        <f t="shared" si="41"/>
        <v>36290.5</v>
      </c>
      <c r="T164" s="18">
        <f t="shared" si="41"/>
        <v>35815.5</v>
      </c>
      <c r="U164" s="18">
        <f t="shared" si="42"/>
        <v>35340.5</v>
      </c>
      <c r="V164" s="18">
        <f t="shared" si="42"/>
        <v>34865.5</v>
      </c>
      <c r="W164" s="18">
        <f t="shared" si="42"/>
        <v>34390.5</v>
      </c>
    </row>
    <row r="165" spans="12:23">
      <c r="M165" s="23">
        <v>30000</v>
      </c>
      <c r="N165" s="18">
        <f t="shared" si="43"/>
        <v>42285.75</v>
      </c>
      <c r="O165" s="18">
        <f t="shared" si="41"/>
        <v>41573.25</v>
      </c>
      <c r="P165" s="18">
        <f t="shared" si="41"/>
        <v>40860.75</v>
      </c>
      <c r="Q165" s="18">
        <f t="shared" si="41"/>
        <v>40148.25</v>
      </c>
      <c r="R165" s="18">
        <f t="shared" si="41"/>
        <v>39435.75</v>
      </c>
      <c r="S165" s="18">
        <f t="shared" si="41"/>
        <v>39435.75</v>
      </c>
      <c r="T165" s="18">
        <f t="shared" si="41"/>
        <v>38723.25</v>
      </c>
      <c r="U165" s="18">
        <f t="shared" si="42"/>
        <v>38010.75</v>
      </c>
      <c r="V165" s="18">
        <f t="shared" si="42"/>
        <v>37298.25</v>
      </c>
      <c r="W165" s="18">
        <f t="shared" si="42"/>
        <v>36585.75</v>
      </c>
    </row>
    <row r="166" spans="12:23">
      <c r="M166" s="23">
        <v>40000</v>
      </c>
      <c r="N166" s="18">
        <f t="shared" si="43"/>
        <v>46381</v>
      </c>
      <c r="O166" s="18">
        <f t="shared" si="41"/>
        <v>45431</v>
      </c>
      <c r="P166" s="18">
        <f t="shared" si="41"/>
        <v>44481</v>
      </c>
      <c r="Q166" s="18">
        <f t="shared" si="41"/>
        <v>43531</v>
      </c>
      <c r="R166" s="18">
        <f t="shared" si="41"/>
        <v>42581</v>
      </c>
      <c r="S166" s="18">
        <f t="shared" si="41"/>
        <v>42581</v>
      </c>
      <c r="T166" s="18">
        <f t="shared" si="41"/>
        <v>41631</v>
      </c>
      <c r="U166" s="18">
        <f t="shared" si="42"/>
        <v>40681</v>
      </c>
      <c r="V166" s="18">
        <f t="shared" si="42"/>
        <v>39731</v>
      </c>
      <c r="W166" s="18">
        <f t="shared" si="42"/>
        <v>38781</v>
      </c>
    </row>
    <row r="167" spans="12:23">
      <c r="M167" s="23">
        <v>50000</v>
      </c>
      <c r="N167" s="18">
        <f t="shared" si="43"/>
        <v>50476.25</v>
      </c>
      <c r="O167" s="18">
        <f t="shared" si="41"/>
        <v>49288.75</v>
      </c>
      <c r="P167" s="18">
        <f t="shared" si="41"/>
        <v>48101.25</v>
      </c>
      <c r="Q167" s="18">
        <f t="shared" si="41"/>
        <v>46913.75</v>
      </c>
      <c r="R167" s="18">
        <f t="shared" si="41"/>
        <v>45726.25</v>
      </c>
      <c r="S167" s="18">
        <f t="shared" si="41"/>
        <v>45726.25</v>
      </c>
      <c r="T167" s="18">
        <f t="shared" si="41"/>
        <v>44538.75</v>
      </c>
      <c r="U167" s="18">
        <f t="shared" si="42"/>
        <v>43351.25</v>
      </c>
      <c r="V167" s="18">
        <f t="shared" si="42"/>
        <v>42163.75</v>
      </c>
      <c r="W167" s="18">
        <f t="shared" si="42"/>
        <v>40976.25</v>
      </c>
    </row>
    <row r="168" spans="12:23">
      <c r="M168" s="23">
        <v>60000</v>
      </c>
      <c r="N168" s="18">
        <f t="shared" si="43"/>
        <v>54571.5</v>
      </c>
      <c r="O168" s="18">
        <f t="shared" si="41"/>
        <v>53146.5</v>
      </c>
      <c r="P168" s="18">
        <f t="shared" si="41"/>
        <v>51721.5</v>
      </c>
      <c r="Q168" s="18">
        <f t="shared" si="41"/>
        <v>50296.5</v>
      </c>
      <c r="R168" s="18">
        <f t="shared" si="41"/>
        <v>48871.5</v>
      </c>
      <c r="S168" s="18">
        <f t="shared" si="41"/>
        <v>48871.5</v>
      </c>
      <c r="T168" s="18">
        <f t="shared" si="41"/>
        <v>47446.5</v>
      </c>
      <c r="U168" s="18">
        <f t="shared" si="42"/>
        <v>46021.5</v>
      </c>
      <c r="V168" s="18">
        <f t="shared" si="42"/>
        <v>44596.5</v>
      </c>
      <c r="W168" s="18">
        <f t="shared" si="42"/>
        <v>43171.5</v>
      </c>
    </row>
    <row r="169" spans="12:23">
      <c r="M169" s="23">
        <v>70000</v>
      </c>
      <c r="N169" s="18">
        <f t="shared" si="43"/>
        <v>58666.75</v>
      </c>
      <c r="O169" s="18">
        <f t="shared" si="41"/>
        <v>57004.25</v>
      </c>
      <c r="P169" s="18">
        <f t="shared" si="41"/>
        <v>55341.75</v>
      </c>
      <c r="Q169" s="18">
        <f t="shared" si="41"/>
        <v>53679.25</v>
      </c>
      <c r="R169" s="18">
        <f t="shared" si="41"/>
        <v>52016.75</v>
      </c>
      <c r="S169" s="18">
        <f t="shared" si="41"/>
        <v>52016.75</v>
      </c>
      <c r="T169" s="18">
        <f t="shared" si="41"/>
        <v>50354.25</v>
      </c>
      <c r="U169" s="18">
        <f t="shared" si="42"/>
        <v>48691.75</v>
      </c>
      <c r="V169" s="18">
        <f t="shared" si="42"/>
        <v>47029.25</v>
      </c>
      <c r="W169" s="18">
        <f t="shared" si="42"/>
        <v>45366.75</v>
      </c>
    </row>
    <row r="170" spans="12:23">
      <c r="M170" s="23">
        <v>80000</v>
      </c>
      <c r="N170" s="18">
        <f t="shared" si="43"/>
        <v>62762</v>
      </c>
      <c r="O170" s="18">
        <f t="shared" si="41"/>
        <v>60862</v>
      </c>
      <c r="P170" s="18">
        <f t="shared" si="41"/>
        <v>58961.999999999993</v>
      </c>
      <c r="Q170" s="18">
        <f t="shared" si="41"/>
        <v>57062</v>
      </c>
      <c r="R170" s="18">
        <f t="shared" si="41"/>
        <v>55162</v>
      </c>
      <c r="S170" s="18">
        <f t="shared" si="41"/>
        <v>55162</v>
      </c>
      <c r="T170" s="18">
        <f t="shared" si="41"/>
        <v>53262</v>
      </c>
      <c r="U170" s="18">
        <f t="shared" si="42"/>
        <v>51362</v>
      </c>
      <c r="V170" s="18">
        <f t="shared" si="42"/>
        <v>49462</v>
      </c>
      <c r="W170" s="18">
        <f t="shared" si="42"/>
        <v>47562</v>
      </c>
    </row>
    <row r="171" spans="12:23">
      <c r="M171" s="23">
        <v>90000</v>
      </c>
      <c r="N171" s="18">
        <f t="shared" si="43"/>
        <v>66857.25</v>
      </c>
      <c r="O171" s="18">
        <f t="shared" si="41"/>
        <v>64719.75</v>
      </c>
      <c r="P171" s="18">
        <f t="shared" si="41"/>
        <v>62582.249999999993</v>
      </c>
      <c r="Q171" s="18">
        <f t="shared" si="41"/>
        <v>60444.749999999993</v>
      </c>
      <c r="R171" s="18">
        <f t="shared" si="41"/>
        <v>58307.25</v>
      </c>
      <c r="S171" s="18">
        <f t="shared" si="41"/>
        <v>58307.25</v>
      </c>
      <c r="T171" s="18">
        <f t="shared" si="41"/>
        <v>56169.75</v>
      </c>
      <c r="U171" s="18">
        <f t="shared" si="42"/>
        <v>54032.25</v>
      </c>
      <c r="V171" s="18">
        <f t="shared" si="42"/>
        <v>51894.75</v>
      </c>
      <c r="W171" s="18">
        <f t="shared" si="42"/>
        <v>49757.25</v>
      </c>
    </row>
    <row r="172" spans="12:23">
      <c r="M172" s="23">
        <v>100000</v>
      </c>
      <c r="N172" s="18">
        <f>N$162+((N$161)*($M172))</f>
        <v>70952.5</v>
      </c>
      <c r="O172" s="18">
        <f t="shared" si="41"/>
        <v>68577.5</v>
      </c>
      <c r="P172" s="18">
        <f t="shared" si="41"/>
        <v>66202.5</v>
      </c>
      <c r="Q172" s="18">
        <f t="shared" si="41"/>
        <v>63827.499999999993</v>
      </c>
      <c r="R172" s="18">
        <f t="shared" si="41"/>
        <v>61452.499999999993</v>
      </c>
      <c r="S172" s="18">
        <f t="shared" si="41"/>
        <v>61452.499999999993</v>
      </c>
      <c r="T172" s="18">
        <f t="shared" si="41"/>
        <v>59077.5</v>
      </c>
      <c r="U172" s="18">
        <f t="shared" si="42"/>
        <v>56702.5</v>
      </c>
      <c r="V172" s="18">
        <f t="shared" si="42"/>
        <v>54327.5</v>
      </c>
      <c r="W172" s="18">
        <f t="shared" si="42"/>
        <v>51952.5</v>
      </c>
    </row>
    <row r="175" spans="12:23" ht="70">
      <c r="L175" s="223" t="s">
        <v>379</v>
      </c>
      <c r="M175" t="s">
        <v>425</v>
      </c>
      <c r="N175" s="227" t="s">
        <v>415</v>
      </c>
      <c r="O175" s="227" t="s">
        <v>416</v>
      </c>
      <c r="P175" s="227" t="s">
        <v>417</v>
      </c>
      <c r="Q175" s="227" t="s">
        <v>418</v>
      </c>
      <c r="R175" s="227" t="s">
        <v>419</v>
      </c>
      <c r="S175" s="227" t="s">
        <v>413</v>
      </c>
      <c r="T175" s="227" t="s">
        <v>420</v>
      </c>
      <c r="U175" s="227" t="s">
        <v>421</v>
      </c>
      <c r="V175" s="227" t="s">
        <v>422</v>
      </c>
      <c r="W175" s="227" t="s">
        <v>423</v>
      </c>
    </row>
    <row r="176" spans="12:23">
      <c r="L176">
        <v>30095</v>
      </c>
      <c r="M176">
        <v>28070</v>
      </c>
      <c r="N176">
        <v>30000</v>
      </c>
      <c r="O176">
        <v>30000</v>
      </c>
      <c r="P176">
        <v>30000</v>
      </c>
      <c r="Q176">
        <v>30000</v>
      </c>
      <c r="R176">
        <v>30000</v>
      </c>
      <c r="S176">
        <v>30000</v>
      </c>
      <c r="T176">
        <v>30000</v>
      </c>
      <c r="U176">
        <v>30000</v>
      </c>
      <c r="V176">
        <v>30000</v>
      </c>
      <c r="W176">
        <v>30000</v>
      </c>
    </row>
    <row r="177" spans="12:23">
      <c r="L177">
        <v>33116.727272727272</v>
      </c>
      <c r="M177">
        <v>29735</v>
      </c>
      <c r="N177">
        <v>34095.25</v>
      </c>
      <c r="O177">
        <v>33857.75</v>
      </c>
      <c r="P177">
        <v>33620.25</v>
      </c>
      <c r="Q177">
        <v>33382.75</v>
      </c>
      <c r="R177">
        <v>33145.25</v>
      </c>
      <c r="S177">
        <v>33145.25</v>
      </c>
      <c r="T177">
        <v>32907.75</v>
      </c>
      <c r="U177">
        <v>32670.25</v>
      </c>
      <c r="V177">
        <v>32432.75</v>
      </c>
      <c r="W177">
        <v>32195.25</v>
      </c>
    </row>
    <row r="178" spans="12:23">
      <c r="L178">
        <v>36138.454545454544</v>
      </c>
      <c r="M178">
        <v>31400</v>
      </c>
      <c r="N178">
        <v>38190.5</v>
      </c>
      <c r="O178">
        <v>37715.5</v>
      </c>
      <c r="P178">
        <v>37240.5</v>
      </c>
      <c r="Q178">
        <v>36765.5</v>
      </c>
      <c r="R178">
        <v>36290.5</v>
      </c>
      <c r="S178">
        <v>36290.5</v>
      </c>
      <c r="T178">
        <v>35815.5</v>
      </c>
      <c r="U178">
        <v>35340.5</v>
      </c>
      <c r="V178">
        <v>34865.5</v>
      </c>
      <c r="W178">
        <v>34390.5</v>
      </c>
    </row>
    <row r="179" spans="12:23">
      <c r="L179">
        <v>39160.181818181816</v>
      </c>
      <c r="M179">
        <v>33065</v>
      </c>
      <c r="N179">
        <v>42285.75</v>
      </c>
      <c r="O179">
        <v>41573.25</v>
      </c>
      <c r="P179">
        <v>40860.75</v>
      </c>
      <c r="Q179">
        <v>40148.25</v>
      </c>
      <c r="R179">
        <v>39435.75</v>
      </c>
      <c r="S179">
        <v>39435.75</v>
      </c>
      <c r="T179">
        <v>38723.25</v>
      </c>
      <c r="U179">
        <v>38010.75</v>
      </c>
      <c r="V179">
        <v>37298.25</v>
      </c>
      <c r="W179">
        <v>36585.75</v>
      </c>
    </row>
    <row r="180" spans="12:23">
      <c r="L180">
        <v>42181.909090909088</v>
      </c>
      <c r="M180">
        <v>34730</v>
      </c>
      <c r="N180">
        <v>46381</v>
      </c>
      <c r="O180">
        <v>45431</v>
      </c>
      <c r="P180">
        <v>44481</v>
      </c>
      <c r="Q180">
        <v>43531</v>
      </c>
      <c r="R180">
        <v>42581</v>
      </c>
      <c r="S180">
        <v>42581</v>
      </c>
      <c r="T180">
        <v>41631</v>
      </c>
      <c r="U180">
        <v>40681</v>
      </c>
      <c r="V180">
        <v>39731</v>
      </c>
      <c r="W180">
        <v>38781</v>
      </c>
    </row>
    <row r="181" spans="12:23">
      <c r="L181">
        <v>45203.63636363636</v>
      </c>
      <c r="M181">
        <v>36395</v>
      </c>
      <c r="N181">
        <v>50476.25</v>
      </c>
      <c r="O181">
        <v>49288.75</v>
      </c>
      <c r="P181">
        <v>48101.25</v>
      </c>
      <c r="Q181">
        <v>46913.75</v>
      </c>
      <c r="R181">
        <v>45726.25</v>
      </c>
      <c r="S181">
        <v>45726.25</v>
      </c>
      <c r="T181">
        <v>44538.75</v>
      </c>
      <c r="U181">
        <v>43351.25</v>
      </c>
      <c r="V181">
        <v>42163.75</v>
      </c>
      <c r="W181">
        <v>40976.25</v>
      </c>
    </row>
    <row r="182" spans="12:23">
      <c r="L182">
        <v>48225.363636363632</v>
      </c>
      <c r="M182">
        <v>38060</v>
      </c>
      <c r="N182">
        <v>54571.5</v>
      </c>
      <c r="O182">
        <v>53146.5</v>
      </c>
      <c r="P182">
        <v>51721.5</v>
      </c>
      <c r="Q182">
        <v>50296.5</v>
      </c>
      <c r="R182">
        <v>48871.5</v>
      </c>
      <c r="S182">
        <v>48871.5</v>
      </c>
      <c r="T182">
        <v>47446.5</v>
      </c>
      <c r="U182">
        <v>46021.5</v>
      </c>
      <c r="V182">
        <v>44596.5</v>
      </c>
      <c r="W182">
        <v>43171.5</v>
      </c>
    </row>
    <row r="183" spans="12:23">
      <c r="L183">
        <v>51247.090909090912</v>
      </c>
      <c r="M183">
        <v>39725</v>
      </c>
      <c r="N183">
        <v>58666.75</v>
      </c>
      <c r="O183">
        <v>57004.25</v>
      </c>
      <c r="P183">
        <v>55341.75</v>
      </c>
      <c r="Q183">
        <v>53679.25</v>
      </c>
      <c r="R183">
        <v>52016.75</v>
      </c>
      <c r="S183">
        <v>52016.75</v>
      </c>
      <c r="T183">
        <v>50354.25</v>
      </c>
      <c r="U183">
        <v>48691.75</v>
      </c>
      <c r="V183">
        <v>47029.25</v>
      </c>
      <c r="W183">
        <v>45366.75</v>
      </c>
    </row>
    <row r="184" spans="12:23">
      <c r="L184">
        <v>54268.818181818177</v>
      </c>
      <c r="M184">
        <v>41390</v>
      </c>
      <c r="N184">
        <v>62762</v>
      </c>
      <c r="O184">
        <v>60862</v>
      </c>
      <c r="P184">
        <v>58961.999999999993</v>
      </c>
      <c r="Q184">
        <v>57062</v>
      </c>
      <c r="R184">
        <v>55162</v>
      </c>
      <c r="S184">
        <v>55162</v>
      </c>
      <c r="T184">
        <v>53262</v>
      </c>
      <c r="U184">
        <v>51362</v>
      </c>
      <c r="V184">
        <v>49462</v>
      </c>
      <c r="W184">
        <v>47562</v>
      </c>
    </row>
    <row r="185" spans="12:23">
      <c r="L185">
        <v>57290.545454545456</v>
      </c>
      <c r="M185">
        <v>43055</v>
      </c>
      <c r="N185">
        <v>66857.25</v>
      </c>
      <c r="O185">
        <v>64719.75</v>
      </c>
      <c r="P185">
        <v>62582.249999999993</v>
      </c>
      <c r="Q185">
        <v>60444.749999999993</v>
      </c>
      <c r="R185">
        <v>58307.25</v>
      </c>
      <c r="S185">
        <v>58307.25</v>
      </c>
      <c r="T185">
        <v>56169.75</v>
      </c>
      <c r="U185">
        <v>54032.25</v>
      </c>
      <c r="V185">
        <v>51894.75</v>
      </c>
      <c r="W185">
        <v>49757.25</v>
      </c>
    </row>
    <row r="186" spans="12:23">
      <c r="L186">
        <v>60312.272727272721</v>
      </c>
      <c r="M186">
        <v>44720</v>
      </c>
      <c r="N186">
        <v>70952.5</v>
      </c>
      <c r="O186">
        <v>68577.5</v>
      </c>
      <c r="P186">
        <v>66202.5</v>
      </c>
      <c r="Q186">
        <v>63827.499999999993</v>
      </c>
      <c r="R186">
        <v>61452.499999999993</v>
      </c>
      <c r="S186">
        <v>61452.499999999993</v>
      </c>
      <c r="T186">
        <v>59077.5</v>
      </c>
      <c r="U186">
        <v>56702.5</v>
      </c>
      <c r="V186">
        <v>54327.5</v>
      </c>
      <c r="W186">
        <v>51952.5</v>
      </c>
    </row>
    <row r="194" spans="8:8">
      <c r="H194" t="s">
        <v>33</v>
      </c>
    </row>
    <row r="195" spans="8:8">
      <c r="H195" s="1" t="s">
        <v>30</v>
      </c>
    </row>
    <row r="196" spans="8:8">
      <c r="H196" s="1" t="s">
        <v>31</v>
      </c>
    </row>
    <row r="197" spans="8:8">
      <c r="H197" s="1" t="s">
        <v>32</v>
      </c>
    </row>
    <row r="198" spans="8:8">
      <c r="H198" s="1" t="s">
        <v>34</v>
      </c>
    </row>
    <row r="199" spans="8:8">
      <c r="H199" s="1" t="s">
        <v>4</v>
      </c>
    </row>
    <row r="200" spans="8:8">
      <c r="H200" s="1" t="s">
        <v>3</v>
      </c>
    </row>
    <row r="201" spans="8:8">
      <c r="H201" s="1" t="s">
        <v>5</v>
      </c>
    </row>
    <row r="202" spans="8:8">
      <c r="H202" s="1" t="s">
        <v>6</v>
      </c>
    </row>
    <row r="203" spans="8:8">
      <c r="H203" s="1" t="s">
        <v>7</v>
      </c>
    </row>
    <row r="204" spans="8:8">
      <c r="H204" s="1" t="s">
        <v>35</v>
      </c>
    </row>
    <row r="205" spans="8:8" ht="16">
      <c r="H205" t="s">
        <v>38</v>
      </c>
    </row>
    <row r="206" spans="8:8">
      <c r="H206" s="1" t="s">
        <v>20</v>
      </c>
    </row>
    <row r="207" spans="8:8">
      <c r="H207" s="1" t="s">
        <v>39</v>
      </c>
    </row>
    <row r="208" spans="8:8">
      <c r="H208" s="33" t="s">
        <v>40</v>
      </c>
    </row>
    <row r="209" spans="8:8">
      <c r="H209" s="1" t="s">
        <v>45</v>
      </c>
    </row>
    <row r="210" spans="8:8">
      <c r="H210" s="1" t="s">
        <v>46</v>
      </c>
    </row>
    <row r="211" spans="8:8">
      <c r="H211" s="1" t="s">
        <v>47</v>
      </c>
    </row>
    <row r="212" spans="8:8">
      <c r="H212" s="1" t="s">
        <v>48</v>
      </c>
    </row>
    <row r="213" spans="8:8">
      <c r="H213" s="1" t="s">
        <v>53</v>
      </c>
    </row>
    <row r="214" spans="8:8">
      <c r="H214" s="1" t="s">
        <v>55</v>
      </c>
    </row>
    <row r="215" spans="8:8">
      <c r="H215" t="s">
        <v>56</v>
      </c>
    </row>
    <row r="216" spans="8:8">
      <c r="H216" s="1" t="s">
        <v>60</v>
      </c>
    </row>
    <row r="217" spans="8:8">
      <c r="H217" s="1" t="s">
        <v>70</v>
      </c>
    </row>
    <row r="218" spans="8:8">
      <c r="H218" s="1" t="s">
        <v>64</v>
      </c>
    </row>
    <row r="219" spans="8:8">
      <c r="H219" s="1" t="s">
        <v>74</v>
      </c>
    </row>
    <row r="220" spans="8:8">
      <c r="H220" s="1" t="s">
        <v>75</v>
      </c>
    </row>
    <row r="221" spans="8:8">
      <c r="H221" s="1" t="s">
        <v>79</v>
      </c>
    </row>
    <row r="222" spans="8:8">
      <c r="H222" s="1" t="s">
        <v>332</v>
      </c>
    </row>
    <row r="223" spans="8:8">
      <c r="H223" s="1" t="s">
        <v>334</v>
      </c>
    </row>
    <row r="224" spans="8:8">
      <c r="H224" s="1" t="s">
        <v>342</v>
      </c>
    </row>
    <row r="225" spans="8:16">
      <c r="H225" s="1" t="s">
        <v>343</v>
      </c>
    </row>
    <row r="226" spans="8:16">
      <c r="H226" s="1" t="s">
        <v>364</v>
      </c>
    </row>
    <row r="228" spans="8:16">
      <c r="H228" t="s">
        <v>357</v>
      </c>
    </row>
    <row r="229" spans="8:16">
      <c r="H229" s="1" t="s">
        <v>354</v>
      </c>
    </row>
    <row r="230" spans="8:16">
      <c r="H230" s="1" t="s">
        <v>356</v>
      </c>
    </row>
    <row r="231" spans="8:16">
      <c r="H231" s="1" t="s">
        <v>355</v>
      </c>
    </row>
    <row r="232" spans="8:16">
      <c r="H232" s="1" t="s">
        <v>358</v>
      </c>
      <c r="P232" s="1" t="s">
        <v>426</v>
      </c>
    </row>
    <row r="233" spans="8:16">
      <c r="H233" s="1" t="s">
        <v>359</v>
      </c>
    </row>
    <row r="234" spans="8:16">
      <c r="H234" s="1" t="s">
        <v>362</v>
      </c>
    </row>
    <row r="235" spans="8:16">
      <c r="H235" t="s">
        <v>457</v>
      </c>
    </row>
    <row r="237" spans="8:16">
      <c r="H237" t="s">
        <v>365</v>
      </c>
    </row>
    <row r="238" spans="8:16">
      <c r="H238" s="1" t="s">
        <v>366</v>
      </c>
    </row>
    <row r="239" spans="8:16">
      <c r="H239" s="1" t="s">
        <v>367</v>
      </c>
    </row>
    <row r="242" spans="8:20">
      <c r="H242" t="s">
        <v>360</v>
      </c>
    </row>
    <row r="243" spans="8:20">
      <c r="H243" s="1" t="s">
        <v>361</v>
      </c>
      <c r="N243" t="s">
        <v>431</v>
      </c>
    </row>
    <row r="244" spans="8:20">
      <c r="H244" s="1" t="s">
        <v>455</v>
      </c>
    </row>
    <row r="245" spans="8:20">
      <c r="H245" t="s">
        <v>386</v>
      </c>
    </row>
    <row r="246" spans="8:20">
      <c r="H246" t="s">
        <v>385</v>
      </c>
    </row>
    <row r="247" spans="8:20">
      <c r="H247" s="1" t="s">
        <v>390</v>
      </c>
      <c r="O247">
        <v>95</v>
      </c>
      <c r="P247">
        <v>95</v>
      </c>
      <c r="Q247">
        <v>95</v>
      </c>
      <c r="R247">
        <v>95</v>
      </c>
      <c r="S247">
        <v>95</v>
      </c>
      <c r="T247">
        <v>95</v>
      </c>
    </row>
    <row r="248" spans="8:20">
      <c r="N248" t="s">
        <v>442</v>
      </c>
      <c r="O248">
        <v>95</v>
      </c>
      <c r="P248">
        <f>O248*0.98</f>
        <v>93.1</v>
      </c>
      <c r="Q248">
        <f t="shared" ref="Q248:T248" si="44">P248*0.98</f>
        <v>91.238</v>
      </c>
      <c r="R248">
        <f t="shared" si="44"/>
        <v>89.413240000000002</v>
      </c>
      <c r="S248">
        <f t="shared" si="44"/>
        <v>87.624975199999994</v>
      </c>
      <c r="T248">
        <f t="shared" si="44"/>
        <v>85.872475695999995</v>
      </c>
    </row>
    <row r="249" spans="8:20">
      <c r="H249" t="s">
        <v>405</v>
      </c>
      <c r="N249" t="s">
        <v>443</v>
      </c>
      <c r="O249">
        <v>350</v>
      </c>
      <c r="P249">
        <f>O249*0.98</f>
        <v>343</v>
      </c>
      <c r="Q249">
        <f t="shared" ref="Q249:T249" si="45">P249*0.98</f>
        <v>336.14</v>
      </c>
      <c r="R249">
        <f t="shared" si="45"/>
        <v>329.41719999999998</v>
      </c>
      <c r="S249">
        <f t="shared" si="45"/>
        <v>322.82885599999997</v>
      </c>
      <c r="T249">
        <f t="shared" si="45"/>
        <v>316.37227887999995</v>
      </c>
    </row>
    <row r="250" spans="8:20">
      <c r="H250" s="1" t="s">
        <v>406</v>
      </c>
    </row>
    <row r="251" spans="8:20">
      <c r="H251" s="1" t="s">
        <v>407</v>
      </c>
      <c r="O251">
        <v>2015</v>
      </c>
      <c r="P251">
        <v>2016</v>
      </c>
      <c r="Q251">
        <v>2017</v>
      </c>
      <c r="R251">
        <v>2018</v>
      </c>
      <c r="S251">
        <v>2019</v>
      </c>
      <c r="T251">
        <v>2020</v>
      </c>
    </row>
    <row r="252" spans="8:20">
      <c r="H252" s="1" t="s">
        <v>407</v>
      </c>
    </row>
    <row r="253" spans="8:20">
      <c r="N253" t="s">
        <v>437</v>
      </c>
      <c r="O253">
        <f t="shared" ref="O253:T253" si="46">O249*O248</f>
        <v>33250</v>
      </c>
      <c r="P253">
        <f t="shared" si="46"/>
        <v>31933.3</v>
      </c>
      <c r="Q253">
        <f t="shared" si="46"/>
        <v>30668.741319999997</v>
      </c>
      <c r="R253">
        <f t="shared" si="46"/>
        <v>29454.259163727998</v>
      </c>
      <c r="S253">
        <f t="shared" si="46"/>
        <v>28287.870500844369</v>
      </c>
      <c r="T253">
        <f t="shared" si="46"/>
        <v>27167.670829010927</v>
      </c>
    </row>
    <row r="254" spans="8:20">
      <c r="H254" t="s">
        <v>432</v>
      </c>
    </row>
    <row r="255" spans="8:20">
      <c r="H255" s="1" t="s">
        <v>400</v>
      </c>
      <c r="N255" t="s">
        <v>437</v>
      </c>
      <c r="O255">
        <f>O253</f>
        <v>33250</v>
      </c>
      <c r="P255">
        <f>P253*0.92</f>
        <v>29378.636000000002</v>
      </c>
      <c r="Q255">
        <f>P255*0.92</f>
        <v>27028.345120000002</v>
      </c>
      <c r="R255">
        <f>Q255*0.92</f>
        <v>24866.077510400002</v>
      </c>
      <c r="S255">
        <f>S249*95</f>
        <v>30668.741319999997</v>
      </c>
      <c r="T255">
        <f>R255*0.92</f>
        <v>22876.791309568001</v>
      </c>
    </row>
  </sheetData>
  <mergeCells count="9">
    <mergeCell ref="AB8:AJ8"/>
    <mergeCell ref="U33:V33"/>
    <mergeCell ref="W94:Y94"/>
    <mergeCell ref="I78:P78"/>
    <mergeCell ref="I7:Q7"/>
    <mergeCell ref="J89:K89"/>
    <mergeCell ref="E54:I59"/>
    <mergeCell ref="I88:P88"/>
    <mergeCell ref="U28:W28"/>
  </mergeCells>
  <hyperlinks>
    <hyperlink ref="H202" r:id="rId1"/>
    <hyperlink ref="H201" r:id="rId2"/>
    <hyperlink ref="H199" r:id="rId3"/>
    <hyperlink ref="H200" r:id="rId4" location="/vehicleComparison/" display="http://www.mbusa.com/mercedes/ - /vehicleComparison/"/>
    <hyperlink ref="H203" r:id="rId5"/>
    <hyperlink ref="H206" r:id="rId6"/>
    <hyperlink ref="H195" r:id="rId7"/>
    <hyperlink ref="H197" r:id="rId8"/>
    <hyperlink ref="H196" r:id="rId9"/>
    <hyperlink ref="H198" r:id="rId10" display="Maintenance and Tire Costs Per Mile Estimates"/>
    <hyperlink ref="H204" r:id="rId11"/>
    <hyperlink ref="H207" r:id="rId12"/>
    <hyperlink ref="H209" r:id="rId13"/>
    <hyperlink ref="H210" r:id="rId14"/>
    <hyperlink ref="H211" r:id="rId15"/>
    <hyperlink ref="H212" r:id="rId16"/>
    <hyperlink ref="H213" r:id="rId17"/>
    <hyperlink ref="H214" r:id="rId18"/>
    <hyperlink ref="H216" r:id="rId19"/>
    <hyperlink ref="H218" r:id="rId20"/>
    <hyperlink ref="H217" r:id="rId21"/>
    <hyperlink ref="H219" r:id="rId22"/>
    <hyperlink ref="H220" r:id="rId23"/>
    <hyperlink ref="H221" r:id="rId24"/>
    <hyperlink ref="H222" r:id="rId25"/>
    <hyperlink ref="H223" r:id="rId26"/>
    <hyperlink ref="H224" r:id="rId27"/>
    <hyperlink ref="H225" r:id="rId28"/>
    <hyperlink ref="H229" r:id="rId29"/>
    <hyperlink ref="H231" r:id="rId30"/>
    <hyperlink ref="H230" r:id="rId31"/>
    <hyperlink ref="H232" r:id="rId32"/>
    <hyperlink ref="H233" r:id="rId33"/>
    <hyperlink ref="H234" r:id="rId34"/>
    <hyperlink ref="H226" r:id="rId35"/>
    <hyperlink ref="H238" r:id="rId36"/>
    <hyperlink ref="H239" r:id="rId37"/>
    <hyperlink ref="H243" r:id="rId38"/>
    <hyperlink ref="H247" r:id="rId39"/>
    <hyperlink ref="R1" r:id="rId40"/>
    <hyperlink ref="H250" r:id="rId41"/>
    <hyperlink ref="H251" r:id="rId42"/>
    <hyperlink ref="H252" r:id="rId43"/>
    <hyperlink ref="P232" r:id="rId44"/>
    <hyperlink ref="H255" r:id="rId45"/>
    <hyperlink ref="H244" r:id="rId46"/>
  </hyperlinks>
  <pageMargins left="0.7" right="0.7" top="0.75" bottom="0.75" header="0.3" footer="0.3"/>
  <pageSetup orientation="portrait"/>
  <drawing r:id="rId4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4"/>
  <sheetViews>
    <sheetView tabSelected="1" topLeftCell="A119" zoomScale="115" zoomScaleNormal="115" zoomScalePageLayoutView="115" workbookViewId="0">
      <selection activeCell="C153" sqref="C153"/>
    </sheetView>
  </sheetViews>
  <sheetFormatPr baseColWidth="10" defaultColWidth="8.83203125" defaultRowHeight="14" x14ac:dyDescent="0"/>
  <cols>
    <col min="1" max="1" width="32.33203125" style="5" bestFit="1" customWidth="1"/>
    <col min="2" max="3" width="43" style="5" bestFit="1" customWidth="1"/>
    <col min="4" max="4" width="48.33203125" style="5" bestFit="1" customWidth="1"/>
    <col min="5" max="5" width="41.6640625" style="5" bestFit="1" customWidth="1"/>
    <col min="6" max="6" width="43" style="5" bestFit="1" customWidth="1"/>
    <col min="7" max="7" width="41.6640625" style="5" bestFit="1" customWidth="1"/>
    <col min="8" max="8" width="44.6640625" style="5" bestFit="1" customWidth="1"/>
    <col min="9" max="9" width="38.5" style="5" customWidth="1"/>
    <col min="10" max="10" width="42.1640625" style="5" bestFit="1" customWidth="1"/>
    <col min="11" max="11" width="42.5" style="5" bestFit="1" customWidth="1"/>
    <col min="12" max="12" width="44.1640625" style="5" customWidth="1"/>
    <col min="13" max="13" width="37.33203125" style="5" customWidth="1"/>
    <col min="14" max="14" width="32.6640625" style="5" bestFit="1" customWidth="1"/>
    <col min="15" max="15" width="44.83203125" style="5" bestFit="1" customWidth="1"/>
    <col min="16" max="16" width="34.33203125" style="5" bestFit="1" customWidth="1"/>
    <col min="17" max="17" width="53.5" style="5" bestFit="1" customWidth="1"/>
    <col min="18" max="18" width="24.5" style="5" bestFit="1" customWidth="1"/>
    <col min="19" max="19" width="35.33203125" style="5" bestFit="1" customWidth="1"/>
    <col min="20" max="20" width="16.5" style="5" bestFit="1" customWidth="1"/>
    <col min="21" max="21" width="35.33203125" style="5" bestFit="1" customWidth="1"/>
    <col min="22" max="22" width="6.5" style="5" bestFit="1" customWidth="1"/>
    <col min="23" max="25" width="42.1640625" style="5" bestFit="1" customWidth="1"/>
    <col min="26" max="26" width="12.83203125" style="5" bestFit="1" customWidth="1"/>
    <col min="27" max="27" width="35.5" style="5" bestFit="1" customWidth="1"/>
    <col min="28" max="28" width="8.83203125" style="5"/>
    <col min="29" max="29" width="35.5" style="5" bestFit="1" customWidth="1"/>
    <col min="30" max="30" width="11.5" style="5" customWidth="1"/>
    <col min="31" max="31" width="8.83203125" style="5"/>
    <col min="32" max="32" width="6.5" style="5" customWidth="1"/>
    <col min="33" max="39" width="8.83203125" style="5"/>
    <col min="40" max="40" width="12" style="5" bestFit="1" customWidth="1"/>
    <col min="41" max="16384" width="8.83203125" style="5"/>
  </cols>
  <sheetData>
    <row r="1" spans="1:34">
      <c r="A1" s="280" t="s">
        <v>285</v>
      </c>
      <c r="B1" s="281"/>
      <c r="C1" s="281"/>
      <c r="D1" s="90"/>
      <c r="E1" s="90"/>
      <c r="F1" s="90"/>
      <c r="G1" s="86"/>
      <c r="H1" s="128"/>
      <c r="I1" s="90"/>
    </row>
    <row r="2" spans="1:34">
      <c r="A2" s="281"/>
      <c r="B2" s="281"/>
      <c r="C2" s="281"/>
      <c r="E2" s="282" t="s">
        <v>291</v>
      </c>
      <c r="F2" s="273"/>
      <c r="G2" s="278"/>
      <c r="H2" s="276" t="s">
        <v>292</v>
      </c>
      <c r="I2" s="277"/>
      <c r="J2" s="277"/>
      <c r="K2" s="278"/>
    </row>
    <row r="3" spans="1:34">
      <c r="A3" s="281"/>
      <c r="B3" s="281"/>
      <c r="C3" s="281"/>
      <c r="G3" s="5" t="s">
        <v>234</v>
      </c>
      <c r="H3" s="129"/>
      <c r="I3" s="72"/>
      <c r="K3" s="141" t="s">
        <v>289</v>
      </c>
      <c r="AB3" s="72">
        <v>3500000</v>
      </c>
    </row>
    <row r="4" spans="1:34">
      <c r="A4" s="104" t="s">
        <v>105</v>
      </c>
      <c r="B4" s="104" t="s">
        <v>192</v>
      </c>
      <c r="C4" s="246" t="s">
        <v>458</v>
      </c>
      <c r="D4" s="246" t="s">
        <v>459</v>
      </c>
      <c r="E4" s="97" t="s">
        <v>231</v>
      </c>
      <c r="F4" s="97" t="s">
        <v>232</v>
      </c>
      <c r="G4" s="97" t="s">
        <v>233</v>
      </c>
      <c r="H4" s="120" t="s">
        <v>105</v>
      </c>
      <c r="I4" s="97" t="s">
        <v>231</v>
      </c>
      <c r="J4" s="97" t="s">
        <v>232</v>
      </c>
      <c r="K4" s="97" t="s">
        <v>233</v>
      </c>
      <c r="AB4" s="5" t="s">
        <v>205</v>
      </c>
    </row>
    <row r="5" spans="1:34">
      <c r="A5" s="5">
        <v>2013</v>
      </c>
      <c r="B5" s="105">
        <v>74564</v>
      </c>
      <c r="C5" s="106">
        <v>85530</v>
      </c>
      <c r="D5" s="249">
        <f>C5*0.6192</f>
        <v>52960.175999999999</v>
      </c>
      <c r="E5" s="90">
        <f t="shared" ref="E5:E12" si="0">(C83/B$99)*0.002</f>
        <v>66.446719999999999</v>
      </c>
      <c r="F5" s="72">
        <f t="shared" ref="F5:F12" si="1">(C83/B$99)*0.017</f>
        <v>564.79712000000006</v>
      </c>
      <c r="G5" s="98">
        <f t="shared" ref="G5:G12" si="2">(((C83*0.1)/(B$99))*(0.017))+(((B83*0.9)/(B$99))*(0.002))</f>
        <v>116.28176000000001</v>
      </c>
      <c r="H5" s="120">
        <v>2013</v>
      </c>
      <c r="I5" s="98">
        <f t="shared" ref="I5:I12" si="3">(C83/B$100)*0.002</f>
        <v>332.23359999999997</v>
      </c>
      <c r="J5" s="98">
        <f t="shared" ref="J5:J12" si="4">(C83/B$100)*0.017</f>
        <v>2823.9856</v>
      </c>
      <c r="K5" s="98">
        <f t="shared" ref="K5:K12" si="5">(((C83*0.1)/(B$100))*(0.017))+(((B83*0.9)/(B$100))*(0.002))</f>
        <v>581.40880000000004</v>
      </c>
      <c r="AB5" s="5" t="s">
        <v>204</v>
      </c>
      <c r="AG5" s="5" t="s">
        <v>208</v>
      </c>
    </row>
    <row r="6" spans="1:34">
      <c r="A6" s="5">
        <v>2014</v>
      </c>
      <c r="B6" s="105">
        <v>75942</v>
      </c>
      <c r="C6" s="106">
        <v>88848</v>
      </c>
      <c r="D6" s="249">
        <f t="shared" ref="D6:D12" si="6">C6*0.6192</f>
        <v>55014.681599999996</v>
      </c>
      <c r="E6" s="90">
        <f t="shared" si="0"/>
        <v>152.10496000000001</v>
      </c>
      <c r="F6" s="72">
        <f t="shared" si="1"/>
        <v>1292.8921600000001</v>
      </c>
      <c r="G6" s="98">
        <f t="shared" si="2"/>
        <v>206.38163200000002</v>
      </c>
      <c r="H6" s="120">
        <v>2014</v>
      </c>
      <c r="I6" s="98">
        <f t="shared" si="3"/>
        <v>760.52480000000003</v>
      </c>
      <c r="J6" s="98">
        <f t="shared" si="4"/>
        <v>6464.4608000000007</v>
      </c>
      <c r="K6" s="98">
        <f t="shared" si="5"/>
        <v>1031.9081600000002</v>
      </c>
      <c r="V6" s="72"/>
      <c r="W6" s="72"/>
      <c r="X6" s="72"/>
      <c r="Y6" s="89"/>
      <c r="Z6" s="87"/>
      <c r="AA6" s="88"/>
      <c r="AB6" s="72">
        <f>$AB3*1.18</f>
        <v>4130000</v>
      </c>
      <c r="AF6" s="5">
        <f>AB6*0.8</f>
        <v>3304000</v>
      </c>
      <c r="AG6" s="90">
        <f>AF6*0.002</f>
        <v>6608</v>
      </c>
      <c r="AH6" s="5">
        <f>X6*0.0038</f>
        <v>0</v>
      </c>
    </row>
    <row r="7" spans="1:34">
      <c r="A7" s="5">
        <v>2015</v>
      </c>
      <c r="B7" s="105">
        <v>77214</v>
      </c>
      <c r="C7" s="106">
        <v>93568</v>
      </c>
      <c r="D7" s="249">
        <f t="shared" si="6"/>
        <v>57937.3056</v>
      </c>
      <c r="E7" s="90">
        <f t="shared" si="0"/>
        <v>258.12351999999998</v>
      </c>
      <c r="F7" s="72">
        <f t="shared" si="1"/>
        <v>2194.0499199999999</v>
      </c>
      <c r="G7" s="98">
        <f t="shared" si="2"/>
        <v>314.82169600000003</v>
      </c>
      <c r="H7" s="120">
        <v>2015</v>
      </c>
      <c r="I7" s="98">
        <f t="shared" si="3"/>
        <v>1290.6176</v>
      </c>
      <c r="J7" s="98">
        <f t="shared" si="4"/>
        <v>10970.249600000001</v>
      </c>
      <c r="K7" s="98">
        <f t="shared" si="5"/>
        <v>1574.1084800000003</v>
      </c>
      <c r="V7" s="72"/>
      <c r="W7" s="72"/>
      <c r="X7" s="72"/>
      <c r="Y7" s="89"/>
      <c r="Z7" s="87"/>
      <c r="AA7" s="88"/>
      <c r="AB7" s="72">
        <f>AB6*AD7</f>
        <v>4873400</v>
      </c>
      <c r="AC7" s="90" t="e">
        <f>(AA7-AA6)/AA6</f>
        <v>#DIV/0!</v>
      </c>
      <c r="AD7" s="5">
        <v>1.18</v>
      </c>
      <c r="AF7" s="5">
        <f t="shared" ref="AF7:AG13" si="7">AB7*0.8</f>
        <v>3898720</v>
      </c>
      <c r="AG7" s="90">
        <f t="shared" ref="AG7:AH13" si="8">AF7*0.002</f>
        <v>7797.4400000000005</v>
      </c>
    </row>
    <row r="8" spans="1:34">
      <c r="A8" s="5">
        <v>2016</v>
      </c>
      <c r="B8" s="105">
        <v>78398</v>
      </c>
      <c r="C8" s="106">
        <v>95250</v>
      </c>
      <c r="D8" s="249">
        <f t="shared" si="6"/>
        <v>58978.799999999996</v>
      </c>
      <c r="E8" s="90">
        <f t="shared" si="0"/>
        <v>385.70591999999999</v>
      </c>
      <c r="F8" s="72">
        <f t="shared" si="1"/>
        <v>3278.5003200000001</v>
      </c>
      <c r="G8" s="98">
        <f t="shared" si="2"/>
        <v>442.67419200000006</v>
      </c>
      <c r="H8" s="120">
        <v>2016</v>
      </c>
      <c r="I8" s="98">
        <f t="shared" si="3"/>
        <v>1928.5296000000001</v>
      </c>
      <c r="J8" s="98">
        <f t="shared" si="4"/>
        <v>16392.501600000003</v>
      </c>
      <c r="K8" s="98">
        <f t="shared" si="5"/>
        <v>2213.3709600000002</v>
      </c>
      <c r="V8" s="72"/>
      <c r="W8" s="72"/>
      <c r="X8" s="72"/>
      <c r="Y8" s="89"/>
      <c r="Z8" s="87"/>
      <c r="AA8" s="88"/>
      <c r="AB8" s="72">
        <f t="shared" ref="AB8:AB12" si="9">AB7*AD8</f>
        <v>5799346</v>
      </c>
      <c r="AC8" s="90" t="e">
        <f t="shared" ref="AC8:AC12" si="10">(AA8-AA7)/AA7</f>
        <v>#DIV/0!</v>
      </c>
      <c r="AD8" s="5">
        <v>1.19</v>
      </c>
      <c r="AF8" s="5">
        <f t="shared" si="7"/>
        <v>4639476.8</v>
      </c>
      <c r="AG8" s="90">
        <f t="shared" si="8"/>
        <v>9278.9535999999989</v>
      </c>
    </row>
    <row r="9" spans="1:34">
      <c r="A9" s="5">
        <v>2017</v>
      </c>
      <c r="B9" s="105">
        <v>79442</v>
      </c>
      <c r="C9" s="106">
        <v>95682</v>
      </c>
      <c r="D9" s="249">
        <f t="shared" si="6"/>
        <v>59246.294399999999</v>
      </c>
      <c r="E9" s="90">
        <f t="shared" si="0"/>
        <v>536.11231999999995</v>
      </c>
      <c r="F9" s="72">
        <f t="shared" si="1"/>
        <v>4556.9547199999997</v>
      </c>
      <c r="G9" s="98">
        <f t="shared" si="2"/>
        <v>591.06123200000002</v>
      </c>
      <c r="H9" s="120">
        <v>2017</v>
      </c>
      <c r="I9" s="98">
        <f t="shared" si="3"/>
        <v>2680.5616</v>
      </c>
      <c r="J9" s="98">
        <f t="shared" si="4"/>
        <v>22784.773600000004</v>
      </c>
      <c r="K9" s="98">
        <f t="shared" si="5"/>
        <v>2955.3061600000005</v>
      </c>
      <c r="V9" s="72"/>
      <c r="W9" s="72"/>
      <c r="X9" s="72"/>
      <c r="Y9" s="89"/>
      <c r="Z9" s="87"/>
      <c r="AA9" s="88"/>
      <c r="AB9" s="72">
        <f t="shared" si="9"/>
        <v>6901221.7399999993</v>
      </c>
      <c r="AC9" s="90" t="e">
        <f t="shared" si="10"/>
        <v>#DIV/0!</v>
      </c>
      <c r="AD9" s="5">
        <v>1.19</v>
      </c>
      <c r="AF9" s="5">
        <f t="shared" si="7"/>
        <v>5520977.392</v>
      </c>
      <c r="AG9" s="90">
        <f t="shared" si="8"/>
        <v>11041.954784</v>
      </c>
    </row>
    <row r="10" spans="1:34">
      <c r="A10" s="5">
        <v>2018</v>
      </c>
      <c r="B10" s="105">
        <v>80174</v>
      </c>
      <c r="C10" s="106">
        <v>97082</v>
      </c>
      <c r="D10" s="249">
        <f t="shared" si="6"/>
        <v>60113.174399999996</v>
      </c>
      <c r="E10" s="90">
        <f t="shared" si="0"/>
        <v>644.21471999999994</v>
      </c>
      <c r="F10" s="72">
        <f t="shared" si="1"/>
        <v>5475.8251200000004</v>
      </c>
      <c r="G10" s="98">
        <f t="shared" si="2"/>
        <v>704.67672000000005</v>
      </c>
      <c r="H10" s="120">
        <v>2018</v>
      </c>
      <c r="I10" s="98">
        <f t="shared" si="3"/>
        <v>3221.0736000000002</v>
      </c>
      <c r="J10" s="98">
        <f t="shared" si="4"/>
        <v>27379.125600000003</v>
      </c>
      <c r="K10" s="98">
        <f t="shared" si="5"/>
        <v>3523.3836000000001</v>
      </c>
      <c r="Q10" s="107"/>
      <c r="V10" s="72"/>
      <c r="W10" s="72"/>
      <c r="X10" s="72"/>
      <c r="Y10" s="89"/>
      <c r="Z10" s="87"/>
      <c r="AA10" s="88"/>
      <c r="AB10" s="72">
        <f t="shared" si="9"/>
        <v>8143441.6531999987</v>
      </c>
      <c r="AC10" s="90" t="e">
        <f t="shared" si="10"/>
        <v>#DIV/0!</v>
      </c>
      <c r="AD10" s="5">
        <v>1.18</v>
      </c>
      <c r="AF10" s="5">
        <f t="shared" si="7"/>
        <v>6514753.3225599993</v>
      </c>
      <c r="AG10" s="90">
        <f t="shared" si="8"/>
        <v>13029.506645119998</v>
      </c>
    </row>
    <row r="11" spans="1:34">
      <c r="A11" s="5">
        <v>2019</v>
      </c>
      <c r="B11" s="105">
        <v>80789</v>
      </c>
      <c r="C11" s="106">
        <v>98791</v>
      </c>
      <c r="D11" s="249">
        <f t="shared" si="6"/>
        <v>61171.387199999997</v>
      </c>
      <c r="E11" s="90">
        <f t="shared" si="0"/>
        <v>758.62976000000003</v>
      </c>
      <c r="F11" s="72">
        <f t="shared" si="1"/>
        <v>6448.3529600000002</v>
      </c>
      <c r="G11" s="98">
        <f t="shared" si="2"/>
        <v>824.90124800000012</v>
      </c>
      <c r="H11" s="120">
        <v>2019</v>
      </c>
      <c r="I11" s="98">
        <f t="shared" si="3"/>
        <v>3793.1487999999999</v>
      </c>
      <c r="J11" s="98">
        <f t="shared" si="4"/>
        <v>32241.764800000001</v>
      </c>
      <c r="K11" s="98">
        <f t="shared" si="5"/>
        <v>4124.5062400000006</v>
      </c>
      <c r="V11" s="72"/>
      <c r="W11" s="72"/>
      <c r="X11" s="72"/>
      <c r="Y11" s="89"/>
      <c r="Z11" s="87"/>
      <c r="AA11" s="88"/>
      <c r="AB11" s="72">
        <f t="shared" si="9"/>
        <v>9120654.6515839994</v>
      </c>
      <c r="AC11" s="90" t="e">
        <f t="shared" si="10"/>
        <v>#DIV/0!</v>
      </c>
      <c r="AD11" s="5">
        <v>1.1200000000000001</v>
      </c>
      <c r="AF11" s="5">
        <f t="shared" si="7"/>
        <v>7296523.7212672001</v>
      </c>
      <c r="AG11" s="90">
        <f t="shared" si="8"/>
        <v>14593.0474425344</v>
      </c>
    </row>
    <row r="12" spans="1:34">
      <c r="A12" s="5">
        <v>2020</v>
      </c>
      <c r="B12" s="105">
        <v>81151</v>
      </c>
      <c r="C12" s="106">
        <v>100191</v>
      </c>
      <c r="D12" s="249">
        <f t="shared" si="6"/>
        <v>62038.267199999995</v>
      </c>
      <c r="E12" s="90">
        <f t="shared" si="0"/>
        <v>879.65343999999993</v>
      </c>
      <c r="F12" s="72">
        <f t="shared" si="1"/>
        <v>7477.0542400000004</v>
      </c>
      <c r="G12" s="98">
        <f t="shared" si="2"/>
        <v>952.04344000000003</v>
      </c>
      <c r="H12" s="120">
        <v>2020</v>
      </c>
      <c r="I12" s="98">
        <f t="shared" si="3"/>
        <v>4398.2672000000002</v>
      </c>
      <c r="J12" s="98">
        <f t="shared" si="4"/>
        <v>37385.271200000003</v>
      </c>
      <c r="K12" s="98">
        <f t="shared" si="5"/>
        <v>4760.217200000001</v>
      </c>
      <c r="V12" s="72"/>
      <c r="W12" s="72"/>
      <c r="X12" s="72"/>
      <c r="Y12" s="89"/>
      <c r="Z12" s="87"/>
      <c r="AA12" s="88"/>
      <c r="AB12" s="72">
        <f t="shared" si="9"/>
        <v>10123926.66325824</v>
      </c>
      <c r="AC12" s="90" t="e">
        <f t="shared" si="10"/>
        <v>#DIV/0!</v>
      </c>
      <c r="AD12" s="5">
        <v>1.1100000000000001</v>
      </c>
      <c r="AF12" s="5">
        <f t="shared" si="7"/>
        <v>8099141.3306065919</v>
      </c>
      <c r="AG12" s="90">
        <f t="shared" si="8"/>
        <v>16198.282661213185</v>
      </c>
    </row>
    <row r="13" spans="1:34">
      <c r="B13" s="149" t="s">
        <v>297</v>
      </c>
      <c r="C13" s="149" t="s">
        <v>297</v>
      </c>
      <c r="D13" s="88"/>
      <c r="E13" s="72"/>
      <c r="F13" s="72"/>
      <c r="G13" s="131"/>
      <c r="H13" s="130"/>
      <c r="I13" s="108"/>
      <c r="W13" s="72"/>
      <c r="X13" s="72"/>
      <c r="Y13" s="72"/>
      <c r="Z13" s="89"/>
      <c r="AA13" s="87"/>
      <c r="AB13" s="88">
        <f t="shared" ref="AB13" si="11">SUM(AA13,Y13)</f>
        <v>0</v>
      </c>
      <c r="AC13" s="72">
        <f>AB12*AE13</f>
        <v>11136319.329584064</v>
      </c>
      <c r="AD13" s="90" t="e">
        <f>(AB13-AA12)/AA12</f>
        <v>#DIV/0!</v>
      </c>
      <c r="AE13" s="5">
        <v>1.1000000000000001</v>
      </c>
      <c r="AG13" s="5">
        <f t="shared" si="7"/>
        <v>8909055.4636672512</v>
      </c>
      <c r="AH13" s="90">
        <f t="shared" si="8"/>
        <v>17818.110927334503</v>
      </c>
    </row>
    <row r="14" spans="1:34">
      <c r="A14" s="109" t="s">
        <v>214</v>
      </c>
      <c r="B14" s="109" t="s">
        <v>211</v>
      </c>
      <c r="C14" s="109" t="s">
        <v>212</v>
      </c>
      <c r="D14" s="109" t="s">
        <v>241</v>
      </c>
      <c r="E14" s="99" t="s">
        <v>235</v>
      </c>
      <c r="F14" s="99" t="s">
        <v>236</v>
      </c>
      <c r="G14" s="99" t="s">
        <v>237</v>
      </c>
      <c r="H14" s="129"/>
      <c r="I14" s="103"/>
      <c r="S14" s="72"/>
      <c r="T14" s="72"/>
    </row>
    <row r="15" spans="1:34">
      <c r="A15" s="5">
        <v>2013</v>
      </c>
      <c r="B15" s="110">
        <f t="shared" ref="B15:B22" si="12">B5+E5</f>
        <v>74630.446720000007</v>
      </c>
      <c r="C15" s="72">
        <f t="shared" ref="C15:C22" si="13">F5+B5</f>
        <v>75128.797120000003</v>
      </c>
      <c r="D15" s="98">
        <f t="shared" ref="D15:D22" si="14">G5+B5</f>
        <v>74680.281759999998</v>
      </c>
      <c r="E15" s="72">
        <f t="shared" ref="E15:E22" si="15">C5-B15</f>
        <v>10899.553279999993</v>
      </c>
      <c r="F15" s="72">
        <f t="shared" ref="F15:F22" si="16">C5-C15</f>
        <v>10401.202879999997</v>
      </c>
      <c r="G15" s="100">
        <f t="shared" ref="G15:G22" si="17">C5-D15</f>
        <v>10849.718240000002</v>
      </c>
      <c r="H15" s="132"/>
      <c r="S15" s="72"/>
      <c r="T15" s="72"/>
    </row>
    <row r="16" spans="1:34">
      <c r="A16" s="5">
        <v>2014</v>
      </c>
      <c r="B16" s="110">
        <f t="shared" si="12"/>
        <v>76094.104959999997</v>
      </c>
      <c r="C16" s="72">
        <f t="shared" si="13"/>
        <v>77234.892160000003</v>
      </c>
      <c r="D16" s="98">
        <f t="shared" si="14"/>
        <v>76148.381632000004</v>
      </c>
      <c r="E16" s="72">
        <f t="shared" si="15"/>
        <v>12753.895040000003</v>
      </c>
      <c r="F16" s="72">
        <f t="shared" si="16"/>
        <v>11613.107839999997</v>
      </c>
      <c r="G16" s="100">
        <f t="shared" si="17"/>
        <v>12699.618367999996</v>
      </c>
      <c r="H16" s="132"/>
      <c r="S16" s="72"/>
    </row>
    <row r="17" spans="1:27">
      <c r="A17" s="5">
        <v>2015</v>
      </c>
      <c r="B17" s="110">
        <f t="shared" si="12"/>
        <v>77472.123519999994</v>
      </c>
      <c r="C17" s="72">
        <f t="shared" si="13"/>
        <v>79408.049920000005</v>
      </c>
      <c r="D17" s="98">
        <f t="shared" si="14"/>
        <v>77528.821695999999</v>
      </c>
      <c r="E17" s="72">
        <f t="shared" si="15"/>
        <v>16095.876480000006</v>
      </c>
      <c r="F17" s="72">
        <f t="shared" si="16"/>
        <v>14159.950079999995</v>
      </c>
      <c r="G17" s="100">
        <f t="shared" si="17"/>
        <v>16039.178304000001</v>
      </c>
      <c r="H17" s="132"/>
      <c r="S17" s="72"/>
    </row>
    <row r="18" spans="1:27">
      <c r="A18" s="5">
        <v>2016</v>
      </c>
      <c r="B18" s="110">
        <f t="shared" si="12"/>
        <v>78783.705919999993</v>
      </c>
      <c r="C18" s="72">
        <f t="shared" si="13"/>
        <v>81676.500320000006</v>
      </c>
      <c r="D18" s="98">
        <f t="shared" si="14"/>
        <v>78840.674192000006</v>
      </c>
      <c r="E18" s="72">
        <f t="shared" si="15"/>
        <v>16466.294080000007</v>
      </c>
      <c r="F18" s="72">
        <f t="shared" si="16"/>
        <v>13573.499679999994</v>
      </c>
      <c r="G18" s="100">
        <f t="shared" si="17"/>
        <v>16409.325807999994</v>
      </c>
      <c r="H18" s="132"/>
      <c r="S18" s="72"/>
      <c r="Z18" s="72"/>
      <c r="AA18" s="5">
        <f>Z18*0.002</f>
        <v>0</v>
      </c>
    </row>
    <row r="19" spans="1:27">
      <c r="A19" s="5">
        <v>2017</v>
      </c>
      <c r="B19" s="110">
        <f t="shared" si="12"/>
        <v>79978.11232</v>
      </c>
      <c r="C19" s="72">
        <f t="shared" si="13"/>
        <v>83998.954719999994</v>
      </c>
      <c r="D19" s="98">
        <f t="shared" si="14"/>
        <v>80033.061232000007</v>
      </c>
      <c r="E19" s="72">
        <f t="shared" si="15"/>
        <v>15703.88768</v>
      </c>
      <c r="F19" s="72">
        <f t="shared" si="16"/>
        <v>11683.045280000006</v>
      </c>
      <c r="G19" s="100">
        <f t="shared" si="17"/>
        <v>15648.938767999993</v>
      </c>
      <c r="H19" s="132"/>
      <c r="S19" s="72"/>
    </row>
    <row r="20" spans="1:27">
      <c r="A20" s="5">
        <v>2018</v>
      </c>
      <c r="B20" s="110">
        <f t="shared" si="12"/>
        <v>80818.214720000004</v>
      </c>
      <c r="C20" s="72">
        <f t="shared" si="13"/>
        <v>85649.825119999994</v>
      </c>
      <c r="D20" s="98">
        <f t="shared" si="14"/>
        <v>80878.676720000003</v>
      </c>
      <c r="E20" s="72">
        <f t="shared" si="15"/>
        <v>16263.785279999996</v>
      </c>
      <c r="F20" s="72">
        <f t="shared" si="16"/>
        <v>11432.174880000006</v>
      </c>
      <c r="G20" s="100">
        <f t="shared" si="17"/>
        <v>16203.323279999997</v>
      </c>
      <c r="H20" s="132"/>
      <c r="S20" s="72"/>
    </row>
    <row r="21" spans="1:27">
      <c r="A21" s="5">
        <v>2019</v>
      </c>
      <c r="B21" s="110">
        <f t="shared" si="12"/>
        <v>81547.629759999996</v>
      </c>
      <c r="C21" s="72">
        <f t="shared" si="13"/>
        <v>87237.352960000004</v>
      </c>
      <c r="D21" s="98">
        <f t="shared" si="14"/>
        <v>81613.901247999995</v>
      </c>
      <c r="E21" s="72">
        <f t="shared" si="15"/>
        <v>17243.370240000004</v>
      </c>
      <c r="F21" s="72">
        <f t="shared" si="16"/>
        <v>11553.647039999996</v>
      </c>
      <c r="G21" s="100">
        <f t="shared" si="17"/>
        <v>17177.098752000005</v>
      </c>
      <c r="H21" s="132"/>
      <c r="S21" s="72"/>
    </row>
    <row r="22" spans="1:27">
      <c r="A22" s="5">
        <v>2020</v>
      </c>
      <c r="B22" s="110">
        <f t="shared" si="12"/>
        <v>82030.653439999995</v>
      </c>
      <c r="C22" s="72">
        <f t="shared" si="13"/>
        <v>88628.054239999998</v>
      </c>
      <c r="D22" s="98">
        <f t="shared" si="14"/>
        <v>82103.043439999994</v>
      </c>
      <c r="E22" s="72">
        <f t="shared" si="15"/>
        <v>18160.346560000005</v>
      </c>
      <c r="F22" s="72">
        <f t="shared" si="16"/>
        <v>11562.945760000002</v>
      </c>
      <c r="G22" s="100">
        <f t="shared" si="17"/>
        <v>18087.956560000006</v>
      </c>
      <c r="H22" s="132"/>
      <c r="S22" s="72"/>
    </row>
    <row r="23" spans="1:27">
      <c r="C23" s="110"/>
      <c r="D23" s="72"/>
      <c r="E23" s="98"/>
      <c r="F23" s="72"/>
      <c r="G23" s="72"/>
      <c r="H23" s="132"/>
      <c r="I23" s="100"/>
      <c r="T23" s="72"/>
    </row>
    <row r="24" spans="1:27">
      <c r="A24" s="274" t="s">
        <v>246</v>
      </c>
      <c r="B24" s="274"/>
      <c r="C24" s="274"/>
      <c r="D24" s="274"/>
      <c r="E24" s="275" t="s">
        <v>245</v>
      </c>
      <c r="F24" s="275"/>
      <c r="G24" s="275"/>
      <c r="H24" s="129"/>
      <c r="I24" s="5" t="s">
        <v>242</v>
      </c>
      <c r="J24" s="5" t="s">
        <v>242</v>
      </c>
      <c r="T24" s="72"/>
    </row>
    <row r="25" spans="1:27">
      <c r="A25" s="5" t="s">
        <v>105</v>
      </c>
      <c r="B25" s="101" t="s">
        <v>238</v>
      </c>
      <c r="C25" s="101" t="s">
        <v>239</v>
      </c>
      <c r="D25" s="101" t="s">
        <v>240</v>
      </c>
      <c r="E25" s="102" t="s">
        <v>238</v>
      </c>
      <c r="F25" s="102" t="s">
        <v>239</v>
      </c>
      <c r="G25" s="102" t="s">
        <v>240</v>
      </c>
      <c r="H25" s="120" t="s">
        <v>105</v>
      </c>
      <c r="I25" s="104" t="s">
        <v>244</v>
      </c>
      <c r="J25" s="104" t="s">
        <v>243</v>
      </c>
      <c r="S25" s="72"/>
    </row>
    <row r="26" spans="1:27">
      <c r="A26" s="5">
        <v>2013</v>
      </c>
      <c r="B26" s="72">
        <f t="shared" ref="B26:D33" si="18">E15+$J26</f>
        <v>10992.993979999992</v>
      </c>
      <c r="C26" s="72">
        <f t="shared" si="18"/>
        <v>10494.643579999996</v>
      </c>
      <c r="D26" s="72">
        <f t="shared" si="18"/>
        <v>10943.158940000001</v>
      </c>
      <c r="E26" s="72">
        <f t="shared" ref="E26:G33" si="19">E15+$I26</f>
        <v>11740.519579999993</v>
      </c>
      <c r="F26" s="72">
        <f t="shared" si="19"/>
        <v>11242.169179999997</v>
      </c>
      <c r="G26" s="72">
        <f t="shared" si="19"/>
        <v>11690.684540000002</v>
      </c>
      <c r="H26" s="120">
        <v>2013</v>
      </c>
      <c r="I26" s="90">
        <f t="shared" ref="I26:I33" si="20">((C83/4)*(0.018))*0.9</f>
        <v>840.96629999999993</v>
      </c>
      <c r="J26" s="90">
        <f t="shared" ref="J26:J33" si="21">((C83/4)*(0.002))*0.9</f>
        <v>93.440700000000007</v>
      </c>
      <c r="S26" s="72"/>
    </row>
    <row r="27" spans="1:27">
      <c r="A27" s="5">
        <v>2014</v>
      </c>
      <c r="B27" s="72">
        <f t="shared" si="18"/>
        <v>12967.792640000003</v>
      </c>
      <c r="C27" s="72">
        <f t="shared" si="18"/>
        <v>11827.005439999997</v>
      </c>
      <c r="D27" s="72">
        <f t="shared" si="18"/>
        <v>12913.515967999996</v>
      </c>
      <c r="E27" s="72">
        <f t="shared" si="19"/>
        <v>14678.973440000003</v>
      </c>
      <c r="F27" s="72">
        <f t="shared" si="19"/>
        <v>13538.186239999997</v>
      </c>
      <c r="G27" s="72">
        <f t="shared" si="19"/>
        <v>14624.696767999996</v>
      </c>
      <c r="H27" s="120">
        <v>2014</v>
      </c>
      <c r="I27" s="90">
        <f t="shared" si="20"/>
        <v>1925.0783999999996</v>
      </c>
      <c r="J27" s="90">
        <f t="shared" si="21"/>
        <v>213.89760000000001</v>
      </c>
      <c r="K27" s="6"/>
      <c r="L27" s="250">
        <v>2007</v>
      </c>
      <c r="M27" s="6">
        <v>2008</v>
      </c>
      <c r="S27" s="72"/>
    </row>
    <row r="28" spans="1:27" ht="15" customHeight="1">
      <c r="A28" s="5">
        <v>2015</v>
      </c>
      <c r="B28" s="72">
        <f t="shared" si="18"/>
        <v>16458.862680000006</v>
      </c>
      <c r="C28" s="72">
        <f t="shared" si="18"/>
        <v>14522.936279999994</v>
      </c>
      <c r="D28" s="72">
        <f t="shared" si="18"/>
        <v>16402.164504</v>
      </c>
      <c r="E28" s="72">
        <f t="shared" si="19"/>
        <v>19362.752280000008</v>
      </c>
      <c r="F28" s="72">
        <f t="shared" si="19"/>
        <v>17426.825879999997</v>
      </c>
      <c r="G28" s="72">
        <f t="shared" si="19"/>
        <v>19306.054104000003</v>
      </c>
      <c r="H28" s="120">
        <v>2015</v>
      </c>
      <c r="I28" s="90">
        <f t="shared" si="20"/>
        <v>3266.8757999999998</v>
      </c>
      <c r="J28" s="90">
        <f t="shared" si="21"/>
        <v>362.9862</v>
      </c>
      <c r="K28" s="35" t="s">
        <v>461</v>
      </c>
      <c r="L28" s="251">
        <v>73123950</v>
      </c>
      <c r="M28" s="251">
        <v>77651719</v>
      </c>
      <c r="S28" s="72"/>
    </row>
    <row r="29" spans="1:27">
      <c r="A29" s="5">
        <v>2016</v>
      </c>
      <c r="B29" s="72">
        <f t="shared" si="18"/>
        <v>17008.693030000006</v>
      </c>
      <c r="C29" s="72">
        <f t="shared" si="18"/>
        <v>14115.898629999994</v>
      </c>
      <c r="D29" s="72">
        <f t="shared" si="18"/>
        <v>16951.724757999993</v>
      </c>
      <c r="E29" s="72">
        <f t="shared" si="19"/>
        <v>21347.884630000008</v>
      </c>
      <c r="F29" s="72">
        <f t="shared" si="19"/>
        <v>18455.090229999994</v>
      </c>
      <c r="G29" s="72">
        <f t="shared" si="19"/>
        <v>21290.916357999995</v>
      </c>
      <c r="H29" s="120">
        <v>2016</v>
      </c>
      <c r="I29" s="90">
        <f t="shared" si="20"/>
        <v>4881.5905499999999</v>
      </c>
      <c r="J29" s="90">
        <f t="shared" si="21"/>
        <v>542.39895000000013</v>
      </c>
      <c r="K29" s="35" t="s">
        <v>462</v>
      </c>
      <c r="L29" s="251">
        <v>46018779</v>
      </c>
      <c r="M29" s="251">
        <v>48082323</v>
      </c>
      <c r="S29" s="72"/>
    </row>
    <row r="30" spans="1:27">
      <c r="A30" s="5">
        <v>2017</v>
      </c>
      <c r="B30" s="72">
        <f t="shared" si="18"/>
        <v>16457.795630000001</v>
      </c>
      <c r="C30" s="72">
        <f t="shared" si="18"/>
        <v>12436.953230000006</v>
      </c>
      <c r="D30" s="72">
        <f t="shared" si="18"/>
        <v>16402.846717999993</v>
      </c>
      <c r="E30" s="72">
        <f t="shared" si="19"/>
        <v>22489.059229999999</v>
      </c>
      <c r="F30" s="72">
        <f t="shared" si="19"/>
        <v>18468.216830000005</v>
      </c>
      <c r="G30" s="72">
        <f t="shared" si="19"/>
        <v>22434.110317999992</v>
      </c>
      <c r="H30" s="120">
        <v>2017</v>
      </c>
      <c r="I30" s="90">
        <f t="shared" si="20"/>
        <v>6785.17155</v>
      </c>
      <c r="J30" s="90">
        <f t="shared" si="21"/>
        <v>753.90795000000003</v>
      </c>
      <c r="K30" s="35" t="s">
        <v>460</v>
      </c>
      <c r="L30" s="252">
        <f>L29/L28</f>
        <v>0.62932567236862891</v>
      </c>
      <c r="M30" s="252">
        <f>M29/M28</f>
        <v>0.61920487555465453</v>
      </c>
      <c r="S30" s="72"/>
    </row>
    <row r="31" spans="1:27">
      <c r="A31" s="5">
        <v>2018</v>
      </c>
      <c r="B31" s="72">
        <f t="shared" si="18"/>
        <v>17169.712229999997</v>
      </c>
      <c r="C31" s="72">
        <f t="shared" si="18"/>
        <v>12338.101830000007</v>
      </c>
      <c r="D31" s="72">
        <f t="shared" si="18"/>
        <v>17109.250229999998</v>
      </c>
      <c r="E31" s="72">
        <f t="shared" si="19"/>
        <v>24417.127829999994</v>
      </c>
      <c r="F31" s="72">
        <f t="shared" si="19"/>
        <v>19585.517430000004</v>
      </c>
      <c r="G31" s="72">
        <f t="shared" si="19"/>
        <v>24356.665829999994</v>
      </c>
      <c r="H31" s="120">
        <v>2018</v>
      </c>
      <c r="I31" s="90">
        <f t="shared" si="20"/>
        <v>8153.3425499999985</v>
      </c>
      <c r="J31" s="90">
        <f t="shared" si="21"/>
        <v>905.92695000000003</v>
      </c>
      <c r="S31" s="72"/>
    </row>
    <row r="32" spans="1:27">
      <c r="A32" s="5">
        <v>2019</v>
      </c>
      <c r="B32" s="72">
        <f t="shared" si="18"/>
        <v>18310.193340000005</v>
      </c>
      <c r="C32" s="72">
        <f t="shared" si="18"/>
        <v>12620.470139999996</v>
      </c>
      <c r="D32" s="72">
        <f t="shared" si="18"/>
        <v>18243.921852000007</v>
      </c>
      <c r="E32" s="72">
        <f t="shared" si="19"/>
        <v>26844.778140000002</v>
      </c>
      <c r="F32" s="72">
        <f t="shared" si="19"/>
        <v>21155.054939999995</v>
      </c>
      <c r="G32" s="72">
        <f t="shared" si="19"/>
        <v>26778.506652000004</v>
      </c>
      <c r="H32" s="120">
        <v>2019</v>
      </c>
      <c r="I32" s="90">
        <f t="shared" si="20"/>
        <v>9601.4079000000002</v>
      </c>
      <c r="J32" s="90">
        <f t="shared" si="21"/>
        <v>1066.8231000000001</v>
      </c>
      <c r="S32" s="72"/>
    </row>
    <row r="33" spans="1:21">
      <c r="A33" s="5">
        <v>2020</v>
      </c>
      <c r="B33" s="72">
        <f t="shared" si="18"/>
        <v>19397.359210000006</v>
      </c>
      <c r="C33" s="72">
        <f t="shared" si="18"/>
        <v>12799.958410000003</v>
      </c>
      <c r="D33" s="72">
        <f t="shared" si="18"/>
        <v>19324.969210000007</v>
      </c>
      <c r="E33" s="72">
        <f t="shared" si="19"/>
        <v>29293.460410000007</v>
      </c>
      <c r="F33" s="72">
        <f t="shared" si="19"/>
        <v>22696.059610000004</v>
      </c>
      <c r="G33" s="72">
        <f t="shared" si="19"/>
        <v>29221.070410000008</v>
      </c>
      <c r="H33" s="120">
        <v>2020</v>
      </c>
      <c r="I33" s="90">
        <f t="shared" si="20"/>
        <v>11133.11385</v>
      </c>
      <c r="J33" s="90">
        <f t="shared" si="21"/>
        <v>1237.0126499999999</v>
      </c>
      <c r="S33" s="72"/>
    </row>
    <row r="34" spans="1:21" s="125" customFormat="1" ht="23.25" customHeight="1">
      <c r="A34" s="272" t="s">
        <v>266</v>
      </c>
      <c r="B34" s="273"/>
      <c r="C34" s="273"/>
      <c r="D34" s="273"/>
      <c r="E34" s="126"/>
      <c r="F34" s="126"/>
      <c r="G34" s="126"/>
      <c r="H34" s="126"/>
      <c r="N34" s="272" t="s">
        <v>290</v>
      </c>
      <c r="O34" s="273"/>
      <c r="P34" s="273"/>
      <c r="Q34" s="273"/>
      <c r="R34" s="273"/>
      <c r="S34" s="273"/>
      <c r="T34" s="273"/>
      <c r="U34" s="273"/>
    </row>
    <row r="35" spans="1:21">
      <c r="A35" s="274" t="s">
        <v>246</v>
      </c>
      <c r="B35" s="273"/>
      <c r="C35" s="273"/>
      <c r="D35" s="273"/>
      <c r="E35" s="273"/>
      <c r="F35" s="275" t="s">
        <v>251</v>
      </c>
      <c r="G35" s="275"/>
      <c r="H35" s="275"/>
      <c r="I35" s="273"/>
      <c r="J35" s="279" t="s">
        <v>252</v>
      </c>
      <c r="K35" s="279"/>
      <c r="L35" s="279"/>
      <c r="M35" s="279"/>
      <c r="N35" s="274" t="s">
        <v>304</v>
      </c>
      <c r="O35" s="273"/>
      <c r="P35" s="273"/>
      <c r="Q35" s="273"/>
      <c r="R35" s="273"/>
    </row>
    <row r="36" spans="1:21">
      <c r="A36" s="5" t="s">
        <v>105</v>
      </c>
      <c r="B36" s="72" t="s">
        <v>249</v>
      </c>
      <c r="C36" s="72" t="s">
        <v>248</v>
      </c>
      <c r="D36" s="72" t="s">
        <v>247</v>
      </c>
      <c r="E36" s="120" t="s">
        <v>105</v>
      </c>
      <c r="F36" s="72" t="s">
        <v>249</v>
      </c>
      <c r="G36" s="72" t="s">
        <v>248</v>
      </c>
      <c r="H36" s="72" t="s">
        <v>247</v>
      </c>
      <c r="I36" s="120" t="s">
        <v>105</v>
      </c>
      <c r="J36" s="72" t="s">
        <v>249</v>
      </c>
      <c r="K36" s="72" t="s">
        <v>248</v>
      </c>
      <c r="L36" s="72" t="s">
        <v>247</v>
      </c>
      <c r="N36" s="120" t="s">
        <v>105</v>
      </c>
      <c r="O36" s="72" t="s">
        <v>249</v>
      </c>
      <c r="P36" s="72" t="s">
        <v>248</v>
      </c>
      <c r="Q36" s="72" t="s">
        <v>247</v>
      </c>
      <c r="R36" s="141"/>
    </row>
    <row r="37" spans="1:21">
      <c r="A37" s="5">
        <v>2013</v>
      </c>
      <c r="B37" s="72">
        <f t="shared" ref="B37:B44" si="22">(B5+E5)-$J26</f>
        <v>74537.006020000001</v>
      </c>
      <c r="C37" s="72">
        <f t="shared" ref="C37:C44" si="23">(B5+F5)-$J26</f>
        <v>75035.356419999996</v>
      </c>
      <c r="D37" s="72">
        <f t="shared" ref="D37:D44" si="24">(B5+G5)-$J26</f>
        <v>74586.841059999992</v>
      </c>
      <c r="E37" s="120">
        <v>2013</v>
      </c>
      <c r="F37" s="72">
        <f>($B5+$E5)-$I26</f>
        <v>73789.480420000007</v>
      </c>
      <c r="G37" s="72">
        <f>($B5+$F5)-$I26</f>
        <v>74287.830820000003</v>
      </c>
      <c r="H37" s="72">
        <f>($B5+$G5)-$I26</f>
        <v>73839.315459999998</v>
      </c>
      <c r="I37" s="120">
        <v>2013</v>
      </c>
      <c r="J37" s="72">
        <f t="shared" ref="J37:J44" si="25">($B5+$E5)-(($I26*0.9)+(J26*0.1))</f>
        <v>73864.232980000001</v>
      </c>
      <c r="K37" s="72">
        <f t="shared" ref="K37:K44" si="26">($B5+$F5)-(($I26*0.9)+(J26*0.1))</f>
        <v>74362.583379999996</v>
      </c>
      <c r="L37" s="72">
        <f t="shared" ref="L37:L44" si="27">($B5+$G5)-(($I26*0.9)+(J26*0.1))</f>
        <v>73914.068019999992</v>
      </c>
      <c r="N37" s="120">
        <v>2013</v>
      </c>
      <c r="O37" s="72">
        <f t="shared" ref="O37:O44" si="28">(B5+E5)</f>
        <v>74630.446720000007</v>
      </c>
      <c r="P37" s="72">
        <f>($B5+F5)</f>
        <v>75128.797120000003</v>
      </c>
      <c r="Q37" s="72">
        <f>($B5+G5)</f>
        <v>74680.281759999998</v>
      </c>
      <c r="R37" s="141"/>
    </row>
    <row r="38" spans="1:21">
      <c r="A38" s="5">
        <v>2014</v>
      </c>
      <c r="B38" s="72">
        <f t="shared" si="22"/>
        <v>75880.20736</v>
      </c>
      <c r="C38" s="72">
        <f t="shared" si="23"/>
        <v>77020.994560000006</v>
      </c>
      <c r="D38" s="72">
        <f t="shared" si="24"/>
        <v>75934.484032000008</v>
      </c>
      <c r="E38" s="120">
        <v>2014</v>
      </c>
      <c r="F38" s="72">
        <f t="shared" ref="F38:H44" si="29">($B6+E6)-$I27</f>
        <v>74169.026559999998</v>
      </c>
      <c r="G38" s="72">
        <f t="shared" si="29"/>
        <v>75309.813760000005</v>
      </c>
      <c r="H38" s="72">
        <f t="shared" si="29"/>
        <v>74223.303232000006</v>
      </c>
      <c r="I38" s="120">
        <v>2014</v>
      </c>
      <c r="J38" s="72">
        <f t="shared" si="25"/>
        <v>74340.144639999999</v>
      </c>
      <c r="K38" s="72">
        <f t="shared" si="26"/>
        <v>75480.931840000005</v>
      </c>
      <c r="L38" s="72">
        <f t="shared" si="27"/>
        <v>74394.421312000006</v>
      </c>
      <c r="N38" s="120">
        <v>2014</v>
      </c>
      <c r="O38" s="72">
        <f t="shared" si="28"/>
        <v>76094.104959999997</v>
      </c>
      <c r="P38" s="72">
        <f t="shared" ref="P38:P44" si="30">(B6+F6)</f>
        <v>77234.892160000003</v>
      </c>
      <c r="Q38" s="72">
        <f t="shared" ref="Q38:Q44" si="31">($B6+G6)</f>
        <v>76148.381632000004</v>
      </c>
      <c r="R38" s="141"/>
    </row>
    <row r="39" spans="1:21">
      <c r="A39" s="5">
        <v>2015</v>
      </c>
      <c r="B39" s="72">
        <f t="shared" si="22"/>
        <v>77109.137319999994</v>
      </c>
      <c r="C39" s="72">
        <f t="shared" si="23"/>
        <v>79045.063720000006</v>
      </c>
      <c r="D39" s="72">
        <f t="shared" si="24"/>
        <v>77165.835496</v>
      </c>
      <c r="E39" s="120">
        <v>2015</v>
      </c>
      <c r="F39" s="72">
        <f t="shared" si="29"/>
        <v>74205.247719999999</v>
      </c>
      <c r="G39" s="72">
        <f t="shared" si="29"/>
        <v>76141.174120000011</v>
      </c>
      <c r="H39" s="72">
        <f t="shared" si="29"/>
        <v>74261.945896000005</v>
      </c>
      <c r="I39" s="120">
        <v>2015</v>
      </c>
      <c r="J39" s="72">
        <f t="shared" si="25"/>
        <v>74495.636679999996</v>
      </c>
      <c r="K39" s="72">
        <f t="shared" si="26"/>
        <v>76431.563080000007</v>
      </c>
      <c r="L39" s="72">
        <f t="shared" si="27"/>
        <v>74552.334856000001</v>
      </c>
      <c r="N39" s="120">
        <v>2015</v>
      </c>
      <c r="O39" s="72">
        <f t="shared" si="28"/>
        <v>77472.123519999994</v>
      </c>
      <c r="P39" s="72">
        <f t="shared" si="30"/>
        <v>79408.049920000005</v>
      </c>
      <c r="Q39" s="72">
        <f t="shared" si="31"/>
        <v>77528.821695999999</v>
      </c>
      <c r="R39" s="141"/>
    </row>
    <row r="40" spans="1:21">
      <c r="A40" s="5">
        <v>2016</v>
      </c>
      <c r="B40" s="72">
        <f t="shared" si="22"/>
        <v>78241.306969999991</v>
      </c>
      <c r="C40" s="72">
        <f t="shared" si="23"/>
        <v>81134.101370000004</v>
      </c>
      <c r="D40" s="72">
        <f t="shared" si="24"/>
        <v>78298.275242000003</v>
      </c>
      <c r="E40" s="120">
        <v>2016</v>
      </c>
      <c r="F40" s="72">
        <f t="shared" si="29"/>
        <v>73902.11537</v>
      </c>
      <c r="G40" s="72">
        <f t="shared" si="29"/>
        <v>76794.909770000013</v>
      </c>
      <c r="H40" s="72">
        <f t="shared" si="29"/>
        <v>73959.083642000012</v>
      </c>
      <c r="I40" s="120">
        <v>2016</v>
      </c>
      <c r="J40" s="72">
        <f t="shared" si="25"/>
        <v>74336.03452999999</v>
      </c>
      <c r="K40" s="72">
        <f t="shared" si="26"/>
        <v>77228.828930000003</v>
      </c>
      <c r="L40" s="72">
        <f t="shared" si="27"/>
        <v>74393.002802000003</v>
      </c>
      <c r="N40" s="120">
        <v>2016</v>
      </c>
      <c r="O40" s="72">
        <f t="shared" si="28"/>
        <v>78783.705919999993</v>
      </c>
      <c r="P40" s="72">
        <f t="shared" si="30"/>
        <v>81676.500320000006</v>
      </c>
      <c r="Q40" s="72">
        <f t="shared" si="31"/>
        <v>78840.674192000006</v>
      </c>
      <c r="R40" s="141"/>
    </row>
    <row r="41" spans="1:21">
      <c r="A41" s="5">
        <v>2017</v>
      </c>
      <c r="B41" s="72">
        <f t="shared" si="22"/>
        <v>79224.204370000007</v>
      </c>
      <c r="C41" s="72">
        <f t="shared" si="23"/>
        <v>83245.046770000001</v>
      </c>
      <c r="D41" s="72">
        <f t="shared" si="24"/>
        <v>79279.153282000014</v>
      </c>
      <c r="E41" s="120">
        <v>2017</v>
      </c>
      <c r="F41" s="72">
        <f t="shared" si="29"/>
        <v>73192.940770000001</v>
      </c>
      <c r="G41" s="72">
        <f t="shared" si="29"/>
        <v>77213.783169999995</v>
      </c>
      <c r="H41" s="72">
        <f t="shared" si="29"/>
        <v>73247.889682000008</v>
      </c>
      <c r="I41" s="120">
        <v>2017</v>
      </c>
      <c r="J41" s="72">
        <f t="shared" si="25"/>
        <v>73796.067129999996</v>
      </c>
      <c r="K41" s="72">
        <f t="shared" si="26"/>
        <v>77816.90952999999</v>
      </c>
      <c r="L41" s="72">
        <f t="shared" si="27"/>
        <v>73851.016042000003</v>
      </c>
      <c r="N41" s="120">
        <v>2017</v>
      </c>
      <c r="O41" s="72">
        <f t="shared" si="28"/>
        <v>79978.11232</v>
      </c>
      <c r="P41" s="72">
        <f t="shared" si="30"/>
        <v>83998.954719999994</v>
      </c>
      <c r="Q41" s="72">
        <f t="shared" si="31"/>
        <v>80033.061232000007</v>
      </c>
      <c r="R41" s="141"/>
    </row>
    <row r="42" spans="1:21">
      <c r="A42" s="5">
        <v>2018</v>
      </c>
      <c r="B42" s="72">
        <f t="shared" si="22"/>
        <v>79912.28777000001</v>
      </c>
      <c r="C42" s="72">
        <f t="shared" si="23"/>
        <v>84743.89817</v>
      </c>
      <c r="D42" s="72">
        <f t="shared" si="24"/>
        <v>79972.749770000009</v>
      </c>
      <c r="E42" s="120">
        <v>2018</v>
      </c>
      <c r="F42" s="72">
        <f t="shared" si="29"/>
        <v>72664.872170000002</v>
      </c>
      <c r="G42" s="72">
        <f t="shared" si="29"/>
        <v>77496.482569999993</v>
      </c>
      <c r="H42" s="72">
        <f t="shared" si="29"/>
        <v>72725.334170000002</v>
      </c>
      <c r="I42" s="120">
        <v>2018</v>
      </c>
      <c r="J42" s="72">
        <f t="shared" si="25"/>
        <v>73389.613730000012</v>
      </c>
      <c r="K42" s="72">
        <f t="shared" si="26"/>
        <v>78221.224129999988</v>
      </c>
      <c r="L42" s="72">
        <f t="shared" si="27"/>
        <v>73450.075730000011</v>
      </c>
      <c r="N42" s="120">
        <v>2018</v>
      </c>
      <c r="O42" s="72">
        <f t="shared" si="28"/>
        <v>80818.214720000004</v>
      </c>
      <c r="P42" s="72">
        <f t="shared" si="30"/>
        <v>85649.825119999994</v>
      </c>
      <c r="Q42" s="72">
        <f t="shared" si="31"/>
        <v>80878.676720000003</v>
      </c>
      <c r="R42" s="141"/>
    </row>
    <row r="43" spans="1:21">
      <c r="A43" s="5">
        <v>2019</v>
      </c>
      <c r="B43" s="72">
        <f t="shared" si="22"/>
        <v>80480.806660000002</v>
      </c>
      <c r="C43" s="72">
        <f t="shared" si="23"/>
        <v>86170.52986000001</v>
      </c>
      <c r="D43" s="72">
        <f t="shared" si="24"/>
        <v>80547.078148000001</v>
      </c>
      <c r="E43" s="120">
        <v>2019</v>
      </c>
      <c r="F43" s="72">
        <f t="shared" si="29"/>
        <v>71946.221859999991</v>
      </c>
      <c r="G43" s="72">
        <f t="shared" si="29"/>
        <v>77635.945059999998</v>
      </c>
      <c r="H43" s="72">
        <f t="shared" si="29"/>
        <v>72012.493347999989</v>
      </c>
      <c r="I43" s="120">
        <v>2019</v>
      </c>
      <c r="J43" s="72">
        <f t="shared" si="25"/>
        <v>72799.680339999992</v>
      </c>
      <c r="K43" s="72">
        <f t="shared" si="26"/>
        <v>78489.403539999999</v>
      </c>
      <c r="L43" s="72">
        <f t="shared" si="27"/>
        <v>72865.95182799999</v>
      </c>
      <c r="N43" s="120">
        <v>2019</v>
      </c>
      <c r="O43" s="72">
        <f t="shared" si="28"/>
        <v>81547.629759999996</v>
      </c>
      <c r="P43" s="72">
        <f t="shared" si="30"/>
        <v>87237.352960000004</v>
      </c>
      <c r="Q43" s="72">
        <f t="shared" si="31"/>
        <v>81613.901247999995</v>
      </c>
      <c r="R43" s="141"/>
    </row>
    <row r="44" spans="1:21">
      <c r="A44" s="5">
        <v>2020</v>
      </c>
      <c r="B44" s="72">
        <f t="shared" si="22"/>
        <v>80793.64078999999</v>
      </c>
      <c r="C44" s="72">
        <f t="shared" si="23"/>
        <v>87391.041589999993</v>
      </c>
      <c r="D44" s="72">
        <f t="shared" si="24"/>
        <v>80866.03078999999</v>
      </c>
      <c r="E44" s="120">
        <v>2020</v>
      </c>
      <c r="F44" s="72">
        <f t="shared" si="29"/>
        <v>70897.53959</v>
      </c>
      <c r="G44" s="72">
        <f t="shared" si="29"/>
        <v>77494.940390000003</v>
      </c>
      <c r="H44" s="72">
        <f t="shared" si="29"/>
        <v>70969.92959</v>
      </c>
      <c r="I44" s="120">
        <v>2020</v>
      </c>
      <c r="J44" s="72">
        <f t="shared" si="25"/>
        <v>71887.149709999998</v>
      </c>
      <c r="K44" s="72">
        <f t="shared" si="26"/>
        <v>78484.550510000001</v>
      </c>
      <c r="L44" s="72">
        <f t="shared" si="27"/>
        <v>71959.539709999997</v>
      </c>
      <c r="N44" s="120">
        <v>2020</v>
      </c>
      <c r="O44" s="72">
        <f t="shared" si="28"/>
        <v>82030.653439999995</v>
      </c>
      <c r="P44" s="72">
        <f t="shared" si="30"/>
        <v>88628.054239999998</v>
      </c>
      <c r="Q44" s="72">
        <f t="shared" si="31"/>
        <v>82103.043439999994</v>
      </c>
      <c r="R44" s="141"/>
    </row>
    <row r="45" spans="1:21">
      <c r="A45" s="72"/>
      <c r="B45" s="112"/>
      <c r="C45" s="112"/>
      <c r="D45" s="112"/>
      <c r="E45" s="174"/>
      <c r="I45" s="120"/>
      <c r="N45" s="127"/>
      <c r="O45" s="112"/>
      <c r="P45" s="112"/>
      <c r="Q45" s="112"/>
      <c r="R45" s="98"/>
    </row>
    <row r="46" spans="1:21">
      <c r="A46" s="120" t="s">
        <v>105</v>
      </c>
      <c r="B46" s="111" t="s">
        <v>267</v>
      </c>
      <c r="C46" s="111" t="s">
        <v>268</v>
      </c>
      <c r="D46" s="111" t="s">
        <v>269</v>
      </c>
      <c r="E46" s="120" t="s">
        <v>105</v>
      </c>
      <c r="F46" s="111" t="s">
        <v>270</v>
      </c>
      <c r="G46" s="111" t="s">
        <v>271</v>
      </c>
      <c r="H46" s="111" t="s">
        <v>272</v>
      </c>
      <c r="I46" s="120" t="s">
        <v>105</v>
      </c>
      <c r="J46" s="111" t="s">
        <v>273</v>
      </c>
      <c r="K46" s="111" t="s">
        <v>274</v>
      </c>
      <c r="L46" s="111" t="s">
        <v>275</v>
      </c>
      <c r="N46" s="120" t="s">
        <v>105</v>
      </c>
      <c r="O46" s="111" t="s">
        <v>306</v>
      </c>
      <c r="P46" s="111" t="s">
        <v>307</v>
      </c>
      <c r="Q46" s="111" t="s">
        <v>308</v>
      </c>
      <c r="R46" s="98"/>
    </row>
    <row r="47" spans="1:21">
      <c r="A47" s="120">
        <v>2013</v>
      </c>
      <c r="B47" s="72">
        <f>$C5-$B37</f>
        <v>10992.993979999999</v>
      </c>
      <c r="C47" s="72">
        <f>$C5-$C37</f>
        <v>10494.643580000004</v>
      </c>
      <c r="D47" s="72">
        <f>$C5-$D37</f>
        <v>10943.158940000008</v>
      </c>
      <c r="E47" s="120">
        <v>2013</v>
      </c>
      <c r="F47" s="112">
        <f>$C5-$F37</f>
        <v>11740.519579999993</v>
      </c>
      <c r="G47" s="112">
        <f>$C5-$G37</f>
        <v>11242.169179999997</v>
      </c>
      <c r="H47" s="112">
        <f t="shared" ref="H47:H54" si="32">$C5-$H37</f>
        <v>11690.684540000002</v>
      </c>
      <c r="I47" s="120">
        <v>2013</v>
      </c>
      <c r="J47" s="72">
        <f>$C5-$J37</f>
        <v>11665.767019999999</v>
      </c>
      <c r="K47" s="72">
        <f>$C5-$K37</f>
        <v>11167.416620000004</v>
      </c>
      <c r="L47" s="72">
        <f t="shared" ref="L47:L54" si="33">$C5-$L37</f>
        <v>11615.931980000008</v>
      </c>
      <c r="N47" s="120">
        <v>2013</v>
      </c>
      <c r="O47" s="72">
        <f>$C5-O37</f>
        <v>10899.553279999993</v>
      </c>
      <c r="P47" s="72">
        <f>$C5-$P37</f>
        <v>10401.202879999997</v>
      </c>
      <c r="Q47" s="72">
        <f>$C5-$Q37</f>
        <v>10849.718240000002</v>
      </c>
      <c r="R47" s="98"/>
    </row>
    <row r="48" spans="1:21">
      <c r="A48" s="120">
        <v>2014</v>
      </c>
      <c r="B48" s="72">
        <f t="shared" ref="B48:B54" si="34">$C6-$B38</f>
        <v>12967.79264</v>
      </c>
      <c r="C48" s="72">
        <f t="shared" ref="C48:C54" si="35">$C6-$C38</f>
        <v>11827.005439999994</v>
      </c>
      <c r="D48" s="72">
        <f t="shared" ref="D48:D54" si="36">C6-D38</f>
        <v>12913.515967999992</v>
      </c>
      <c r="E48" s="120">
        <v>2014</v>
      </c>
      <c r="F48" s="112">
        <f t="shared" ref="F48:F54" si="37">$C6-$F38</f>
        <v>14678.973440000002</v>
      </c>
      <c r="G48" s="112">
        <f t="shared" ref="G48:G54" si="38">$C6-$G38</f>
        <v>13538.186239999995</v>
      </c>
      <c r="H48" s="112">
        <f t="shared" si="32"/>
        <v>14624.696767999994</v>
      </c>
      <c r="I48" s="120">
        <v>2014</v>
      </c>
      <c r="J48" s="72">
        <f t="shared" ref="J48:J54" si="39">$C6-$J38</f>
        <v>14507.855360000001</v>
      </c>
      <c r="K48" s="72">
        <f t="shared" ref="K48:K54" si="40">$C6-$K38</f>
        <v>13367.068159999995</v>
      </c>
      <c r="L48" s="72">
        <f t="shared" si="33"/>
        <v>14453.578687999994</v>
      </c>
      <c r="N48" s="120">
        <v>2014</v>
      </c>
      <c r="O48" s="72">
        <f t="shared" ref="O48:O54" si="41">$C6-O38</f>
        <v>12753.895040000003</v>
      </c>
      <c r="P48" s="72">
        <f t="shared" ref="P48:P54" si="42">$C6-$P38</f>
        <v>11613.107839999997</v>
      </c>
      <c r="Q48" s="72">
        <f t="shared" ref="Q48:Q54" si="43">$C6-$Q38</f>
        <v>12699.618367999996</v>
      </c>
      <c r="R48" s="98"/>
    </row>
    <row r="49" spans="1:26">
      <c r="A49" s="120">
        <v>2015</v>
      </c>
      <c r="B49" s="72">
        <f t="shared" si="34"/>
        <v>16458.862680000006</v>
      </c>
      <c r="C49" s="72">
        <f t="shared" si="35"/>
        <v>14522.936279999994</v>
      </c>
      <c r="D49" s="72">
        <f t="shared" si="36"/>
        <v>16402.164504</v>
      </c>
      <c r="E49" s="120">
        <v>2015</v>
      </c>
      <c r="F49" s="112">
        <f t="shared" si="37"/>
        <v>19362.752280000001</v>
      </c>
      <c r="G49" s="112">
        <f t="shared" si="38"/>
        <v>17426.825879999989</v>
      </c>
      <c r="H49" s="112">
        <f t="shared" si="32"/>
        <v>19306.054103999995</v>
      </c>
      <c r="I49" s="120">
        <v>2015</v>
      </c>
      <c r="J49" s="72">
        <f t="shared" si="39"/>
        <v>19072.363320000004</v>
      </c>
      <c r="K49" s="72">
        <f t="shared" si="40"/>
        <v>17136.436919999993</v>
      </c>
      <c r="L49" s="72">
        <f t="shared" si="33"/>
        <v>19015.665143999999</v>
      </c>
      <c r="N49" s="120">
        <v>2015</v>
      </c>
      <c r="O49" s="72">
        <f t="shared" si="41"/>
        <v>16095.876480000006</v>
      </c>
      <c r="P49" s="72">
        <f t="shared" si="42"/>
        <v>14159.950079999995</v>
      </c>
      <c r="Q49" s="72">
        <f t="shared" si="43"/>
        <v>16039.178304000001</v>
      </c>
      <c r="R49" s="98"/>
    </row>
    <row r="50" spans="1:26">
      <c r="A50" s="120">
        <v>2016</v>
      </c>
      <c r="B50" s="72">
        <f t="shared" si="34"/>
        <v>17008.693030000009</v>
      </c>
      <c r="C50" s="72">
        <f t="shared" si="35"/>
        <v>14115.898629999996</v>
      </c>
      <c r="D50" s="72">
        <f t="shared" si="36"/>
        <v>16951.724757999997</v>
      </c>
      <c r="E50" s="120">
        <v>2016</v>
      </c>
      <c r="F50" s="112">
        <f t="shared" si="37"/>
        <v>21347.88463</v>
      </c>
      <c r="G50" s="112">
        <f t="shared" si="38"/>
        <v>18455.090229999987</v>
      </c>
      <c r="H50" s="112">
        <f t="shared" si="32"/>
        <v>21290.916357999988</v>
      </c>
      <c r="I50" s="120">
        <v>2016</v>
      </c>
      <c r="J50" s="72">
        <f t="shared" si="39"/>
        <v>20913.96547000001</v>
      </c>
      <c r="K50" s="72">
        <f t="shared" si="40"/>
        <v>18021.171069999997</v>
      </c>
      <c r="L50" s="72">
        <f t="shared" si="33"/>
        <v>20856.997197999997</v>
      </c>
      <c r="N50" s="120">
        <v>2016</v>
      </c>
      <c r="O50" s="72">
        <f t="shared" si="41"/>
        <v>16466.294080000007</v>
      </c>
      <c r="P50" s="72">
        <f t="shared" si="42"/>
        <v>13573.499679999994</v>
      </c>
      <c r="Q50" s="72">
        <f t="shared" si="43"/>
        <v>16409.325807999994</v>
      </c>
      <c r="R50" s="98"/>
    </row>
    <row r="51" spans="1:26">
      <c r="A51" s="120">
        <v>2017</v>
      </c>
      <c r="B51" s="72">
        <f t="shared" si="34"/>
        <v>16457.795629999993</v>
      </c>
      <c r="C51" s="72">
        <f t="shared" si="35"/>
        <v>12436.953229999999</v>
      </c>
      <c r="D51" s="72">
        <f t="shared" si="36"/>
        <v>16402.846717999986</v>
      </c>
      <c r="E51" s="120">
        <v>2017</v>
      </c>
      <c r="F51" s="112">
        <f t="shared" si="37"/>
        <v>22489.059229999999</v>
      </c>
      <c r="G51" s="112">
        <f t="shared" si="38"/>
        <v>18468.216830000005</v>
      </c>
      <c r="H51" s="112">
        <f t="shared" si="32"/>
        <v>22434.110317999992</v>
      </c>
      <c r="I51" s="120">
        <v>2017</v>
      </c>
      <c r="J51" s="72">
        <f t="shared" si="39"/>
        <v>21885.932870000004</v>
      </c>
      <c r="K51" s="72">
        <f t="shared" si="40"/>
        <v>17865.09047000001</v>
      </c>
      <c r="L51" s="72">
        <f t="shared" si="33"/>
        <v>21830.983957999997</v>
      </c>
      <c r="N51" s="120">
        <v>2017</v>
      </c>
      <c r="O51" s="72">
        <f t="shared" si="41"/>
        <v>15703.88768</v>
      </c>
      <c r="P51" s="72">
        <f t="shared" si="42"/>
        <v>11683.045280000006</v>
      </c>
      <c r="Q51" s="72">
        <f t="shared" si="43"/>
        <v>15648.938767999993</v>
      </c>
      <c r="R51" s="98"/>
    </row>
    <row r="52" spans="1:26">
      <c r="A52" s="120">
        <v>2018</v>
      </c>
      <c r="B52" s="72">
        <f t="shared" si="34"/>
        <v>17169.71222999999</v>
      </c>
      <c r="C52" s="72">
        <f t="shared" si="35"/>
        <v>12338.10183</v>
      </c>
      <c r="D52" s="72">
        <f t="shared" si="36"/>
        <v>17109.250229999991</v>
      </c>
      <c r="E52" s="120">
        <v>2018</v>
      </c>
      <c r="F52" s="112">
        <f t="shared" si="37"/>
        <v>24417.127829999998</v>
      </c>
      <c r="G52" s="112">
        <f t="shared" si="38"/>
        <v>19585.517430000007</v>
      </c>
      <c r="H52" s="112">
        <f t="shared" si="32"/>
        <v>24356.665829999998</v>
      </c>
      <c r="I52" s="120">
        <v>2018</v>
      </c>
      <c r="J52" s="72">
        <f t="shared" si="39"/>
        <v>23692.386269999988</v>
      </c>
      <c r="K52" s="72">
        <f t="shared" si="40"/>
        <v>18860.775870000012</v>
      </c>
      <c r="L52" s="72">
        <f t="shared" si="33"/>
        <v>23631.924269999989</v>
      </c>
      <c r="N52" s="120">
        <v>2018</v>
      </c>
      <c r="O52" s="72">
        <f t="shared" si="41"/>
        <v>16263.785279999996</v>
      </c>
      <c r="P52" s="72">
        <f t="shared" si="42"/>
        <v>11432.174880000006</v>
      </c>
      <c r="Q52" s="72">
        <f t="shared" si="43"/>
        <v>16203.323279999997</v>
      </c>
      <c r="R52" s="98"/>
    </row>
    <row r="53" spans="1:26">
      <c r="A53" s="120">
        <v>2019</v>
      </c>
      <c r="B53" s="72">
        <f t="shared" si="34"/>
        <v>18310.193339999998</v>
      </c>
      <c r="C53" s="72">
        <f t="shared" si="35"/>
        <v>12620.47013999999</v>
      </c>
      <c r="D53" s="72">
        <f t="shared" si="36"/>
        <v>18243.921851999999</v>
      </c>
      <c r="E53" s="120">
        <v>2019</v>
      </c>
      <c r="F53" s="112">
        <f t="shared" si="37"/>
        <v>26844.778140000009</v>
      </c>
      <c r="G53" s="112">
        <f t="shared" si="38"/>
        <v>21155.054940000002</v>
      </c>
      <c r="H53" s="112">
        <f t="shared" si="32"/>
        <v>26778.506652000011</v>
      </c>
      <c r="I53" s="120">
        <v>2019</v>
      </c>
      <c r="J53" s="72">
        <f t="shared" si="39"/>
        <v>25991.319660000008</v>
      </c>
      <c r="K53" s="72">
        <f t="shared" si="40"/>
        <v>20301.596460000001</v>
      </c>
      <c r="L53" s="72">
        <f t="shared" si="33"/>
        <v>25925.04817200001</v>
      </c>
      <c r="N53" s="120">
        <v>2019</v>
      </c>
      <c r="O53" s="72">
        <f t="shared" si="41"/>
        <v>17243.370240000004</v>
      </c>
      <c r="P53" s="72">
        <f t="shared" si="42"/>
        <v>11553.647039999996</v>
      </c>
      <c r="Q53" s="72">
        <f t="shared" si="43"/>
        <v>17177.098752000005</v>
      </c>
      <c r="R53" s="98"/>
    </row>
    <row r="54" spans="1:26">
      <c r="A54" s="120">
        <v>2020</v>
      </c>
      <c r="B54" s="72">
        <f t="shared" si="34"/>
        <v>19397.35921000001</v>
      </c>
      <c r="C54" s="72">
        <f t="shared" si="35"/>
        <v>12799.958410000007</v>
      </c>
      <c r="D54" s="72">
        <f t="shared" si="36"/>
        <v>19324.96921000001</v>
      </c>
      <c r="E54" s="120">
        <v>2020</v>
      </c>
      <c r="F54" s="112">
        <f t="shared" si="37"/>
        <v>29293.46041</v>
      </c>
      <c r="G54" s="112">
        <f t="shared" si="38"/>
        <v>22696.059609999997</v>
      </c>
      <c r="H54" s="112">
        <f t="shared" si="32"/>
        <v>29221.07041</v>
      </c>
      <c r="I54" s="120">
        <v>2020</v>
      </c>
      <c r="J54" s="72">
        <f t="shared" si="39"/>
        <v>28303.850290000002</v>
      </c>
      <c r="K54" s="72">
        <f t="shared" si="40"/>
        <v>21706.449489999999</v>
      </c>
      <c r="L54" s="72">
        <f t="shared" si="33"/>
        <v>28231.460290000003</v>
      </c>
      <c r="N54" s="120">
        <v>2020</v>
      </c>
      <c r="O54" s="72">
        <f t="shared" si="41"/>
        <v>18160.346560000005</v>
      </c>
      <c r="P54" s="72">
        <f t="shared" si="42"/>
        <v>11562.945760000002</v>
      </c>
      <c r="Q54" s="72">
        <f t="shared" si="43"/>
        <v>18087.956560000006</v>
      </c>
      <c r="R54" s="98"/>
    </row>
    <row r="55" spans="1:26">
      <c r="A55" s="72"/>
      <c r="B55" s="112"/>
      <c r="C55" s="112"/>
      <c r="D55" s="112"/>
      <c r="E55" s="174"/>
      <c r="I55" s="120"/>
      <c r="N55" s="127"/>
      <c r="O55" s="112"/>
      <c r="P55" s="112"/>
      <c r="Q55" s="112"/>
      <c r="R55" s="98"/>
      <c r="S55" s="141"/>
      <c r="T55" s="141"/>
      <c r="U55" s="141"/>
      <c r="V55" s="141"/>
      <c r="W55" s="141"/>
      <c r="X55" s="141"/>
      <c r="Y55" s="141"/>
      <c r="Z55" s="141"/>
    </row>
    <row r="56" spans="1:26">
      <c r="A56" s="72"/>
      <c r="B56" s="112"/>
      <c r="C56" s="112"/>
      <c r="D56" s="112"/>
      <c r="E56" s="174"/>
      <c r="I56" s="120"/>
      <c r="N56" s="127"/>
      <c r="O56" s="112"/>
      <c r="P56" s="112"/>
      <c r="Q56" s="112"/>
      <c r="R56" s="98"/>
      <c r="S56" s="141"/>
      <c r="T56" s="141"/>
      <c r="U56" s="141"/>
      <c r="V56" s="141"/>
      <c r="W56" s="141"/>
      <c r="X56" s="141"/>
      <c r="Y56" s="141"/>
      <c r="Z56" s="141"/>
    </row>
    <row r="57" spans="1:26" s="125" customFormat="1" ht="23.25" customHeight="1">
      <c r="A57" s="272" t="s">
        <v>293</v>
      </c>
      <c r="B57" s="273"/>
      <c r="C57" s="273"/>
      <c r="D57" s="273"/>
      <c r="E57" s="126"/>
      <c r="F57" s="126"/>
      <c r="G57" s="126"/>
      <c r="H57" s="126"/>
      <c r="N57" s="272" t="s">
        <v>303</v>
      </c>
      <c r="O57" s="273"/>
      <c r="P57" s="273"/>
      <c r="Q57" s="273"/>
      <c r="R57" s="273"/>
      <c r="S57" s="273"/>
      <c r="T57" s="273"/>
      <c r="U57" s="273"/>
    </row>
    <row r="58" spans="1:26">
      <c r="A58" s="274" t="s">
        <v>246</v>
      </c>
      <c r="B58" s="273"/>
      <c r="C58" s="273"/>
      <c r="D58" s="273"/>
      <c r="E58" s="273"/>
      <c r="F58" s="275" t="s">
        <v>251</v>
      </c>
      <c r="G58" s="275"/>
      <c r="H58" s="275"/>
      <c r="I58" s="273"/>
      <c r="J58" s="279" t="s">
        <v>252</v>
      </c>
      <c r="K58" s="279"/>
      <c r="L58" s="279"/>
      <c r="M58" s="142"/>
      <c r="N58" s="274" t="s">
        <v>305</v>
      </c>
      <c r="O58" s="273"/>
      <c r="P58" s="273"/>
      <c r="Q58" s="273"/>
      <c r="R58" s="273"/>
    </row>
    <row r="59" spans="1:26">
      <c r="A59" s="5" t="s">
        <v>105</v>
      </c>
      <c r="B59" s="72" t="s">
        <v>249</v>
      </c>
      <c r="C59" s="72" t="s">
        <v>248</v>
      </c>
      <c r="D59" s="72" t="s">
        <v>247</v>
      </c>
      <c r="E59" s="111" t="s">
        <v>250</v>
      </c>
      <c r="F59" s="72" t="s">
        <v>249</v>
      </c>
      <c r="G59" s="72" t="s">
        <v>248</v>
      </c>
      <c r="H59" s="72" t="s">
        <v>247</v>
      </c>
      <c r="I59" s="120" t="s">
        <v>105</v>
      </c>
      <c r="J59" s="72" t="s">
        <v>249</v>
      </c>
      <c r="K59" s="72" t="s">
        <v>248</v>
      </c>
      <c r="L59" s="72" t="s">
        <v>247</v>
      </c>
      <c r="M59" s="143"/>
      <c r="N59" s="120" t="s">
        <v>105</v>
      </c>
      <c r="O59" s="72" t="s">
        <v>249</v>
      </c>
      <c r="P59" s="72" t="s">
        <v>248</v>
      </c>
      <c r="Q59" s="72" t="s">
        <v>247</v>
      </c>
      <c r="U59" s="72"/>
    </row>
    <row r="60" spans="1:26">
      <c r="A60" s="5">
        <v>2013</v>
      </c>
      <c r="B60" s="72">
        <f t="shared" ref="B60:B67" si="44">(B5+I5)-$J26</f>
        <v>74802.7929</v>
      </c>
      <c r="C60" s="72">
        <f>(B5+J5)-$J26</f>
        <v>77294.544899999994</v>
      </c>
      <c r="D60" s="72">
        <f t="shared" ref="D60:D67" si="45">(B5+K5)-$J26</f>
        <v>75051.968099999998</v>
      </c>
      <c r="E60" s="173">
        <f t="shared" ref="E60:E67" si="46">$C5-$D60</f>
        <v>10478.031900000002</v>
      </c>
      <c r="F60" s="72">
        <f>($B5+$I5)-$I26</f>
        <v>74055.267300000007</v>
      </c>
      <c r="G60" s="72">
        <f>($B5+$J5)-$I26</f>
        <v>76547.0193</v>
      </c>
      <c r="H60" s="72">
        <f>($B5+$K5)-$I26</f>
        <v>74304.442500000005</v>
      </c>
      <c r="I60" s="120">
        <v>2013</v>
      </c>
      <c r="J60" s="72">
        <f>($B5+$I5)-(($I26*0.9)+(J26*0.1))</f>
        <v>74130.01986</v>
      </c>
      <c r="K60" s="72">
        <f>($B5+$J5)-(($I26*0.9)+(J26*0.1))</f>
        <v>76621.771859999993</v>
      </c>
      <c r="L60" s="72">
        <f>($B5+$K5)-(($I26*0.9)+(J26*0.1))</f>
        <v>74379.195059999998</v>
      </c>
      <c r="M60" s="144"/>
      <c r="N60" s="120">
        <v>2013</v>
      </c>
      <c r="O60" s="72">
        <f>(B5+I5)</f>
        <v>74896.233600000007</v>
      </c>
      <c r="P60" s="72">
        <f>(D5+J5)</f>
        <v>55784.161599999999</v>
      </c>
      <c r="Q60" s="72">
        <f>(B5+K5)</f>
        <v>75145.408800000005</v>
      </c>
      <c r="U60" s="72"/>
    </row>
    <row r="61" spans="1:26">
      <c r="A61" s="5">
        <v>2014</v>
      </c>
      <c r="B61" s="72">
        <f t="shared" si="44"/>
        <v>76488.627200000003</v>
      </c>
      <c r="C61" s="72">
        <f t="shared" ref="C61:C67" si="47">(B6+J6)-$J27</f>
        <v>82192.563200000004</v>
      </c>
      <c r="D61" s="72">
        <f t="shared" si="45"/>
        <v>76760.01056000001</v>
      </c>
      <c r="E61" s="173">
        <f t="shared" si="46"/>
        <v>12087.98943999999</v>
      </c>
      <c r="F61" s="72">
        <f t="shared" ref="F61:F67" si="48">($B6+$I6)-$I27</f>
        <v>74777.446400000001</v>
      </c>
      <c r="G61" s="72">
        <f t="shared" ref="G61:G67" si="49">($B6+$J6)-$I27</f>
        <v>80481.382400000002</v>
      </c>
      <c r="H61" s="72">
        <f t="shared" ref="H61:H67" si="50">($B6+$K6)-$I27</f>
        <v>75048.829760000008</v>
      </c>
      <c r="I61" s="120">
        <v>2014</v>
      </c>
      <c r="J61" s="72">
        <f t="shared" ref="J61:J67" si="51">($B6+$I6)-(($I27*0.9)+(J27*0.1))</f>
        <v>74948.564480000001</v>
      </c>
      <c r="K61" s="72">
        <f t="shared" ref="K61:K67" si="52">($B6+$J6)-(($I27*0.9)+(J27*0.1))</f>
        <v>80652.500480000002</v>
      </c>
      <c r="L61" s="72">
        <f t="shared" ref="L61:L67" si="53">($B6+$K6)-(($I27*0.9)+(J27*0.1))</f>
        <v>75219.947840000008</v>
      </c>
      <c r="M61" s="121"/>
      <c r="N61" s="120">
        <v>2014</v>
      </c>
      <c r="O61" s="72">
        <f t="shared" ref="O61:O67" si="54">(B6+I6)</f>
        <v>76702.524799999999</v>
      </c>
      <c r="P61" s="72">
        <f t="shared" ref="P61:P67" si="55">(B6+J6)</f>
        <v>82406.460800000001</v>
      </c>
      <c r="Q61" s="72">
        <f t="shared" ref="Q61:Q67" si="56">(B6+K6)</f>
        <v>76973.908160000006</v>
      </c>
      <c r="T61" s="72"/>
    </row>
    <row r="62" spans="1:26">
      <c r="A62" s="5">
        <v>2015</v>
      </c>
      <c r="B62" s="72">
        <f t="shared" si="44"/>
        <v>78141.631399999998</v>
      </c>
      <c r="C62" s="72">
        <f t="shared" si="47"/>
        <v>87821.263399999996</v>
      </c>
      <c r="D62" s="72">
        <f t="shared" si="45"/>
        <v>78425.122279999996</v>
      </c>
      <c r="E62" s="173">
        <f t="shared" si="46"/>
        <v>15142.877720000004</v>
      </c>
      <c r="F62" s="72">
        <f t="shared" si="48"/>
        <v>75237.741800000003</v>
      </c>
      <c r="G62" s="72">
        <f t="shared" si="49"/>
        <v>84917.373800000001</v>
      </c>
      <c r="H62" s="72">
        <f t="shared" si="50"/>
        <v>75521.232680000001</v>
      </c>
      <c r="I62" s="120">
        <v>2015</v>
      </c>
      <c r="J62" s="72">
        <f t="shared" si="51"/>
        <v>75528.13076</v>
      </c>
      <c r="K62" s="72">
        <f t="shared" si="52"/>
        <v>85207.762759999998</v>
      </c>
      <c r="L62" s="72">
        <f t="shared" si="53"/>
        <v>75811.621639999998</v>
      </c>
      <c r="M62" s="121"/>
      <c r="N62" s="120">
        <v>2015</v>
      </c>
      <c r="O62" s="72">
        <f t="shared" si="54"/>
        <v>78504.617599999998</v>
      </c>
      <c r="P62" s="72">
        <f t="shared" si="55"/>
        <v>88184.249599999996</v>
      </c>
      <c r="Q62" s="72">
        <f t="shared" si="56"/>
        <v>78788.108479999995</v>
      </c>
      <c r="T62" s="72"/>
    </row>
    <row r="63" spans="1:26">
      <c r="A63" s="5">
        <v>2016</v>
      </c>
      <c r="B63" s="72">
        <f t="shared" si="44"/>
        <v>79784.130649999992</v>
      </c>
      <c r="C63" s="72">
        <f t="shared" si="47"/>
        <v>94248.102650000001</v>
      </c>
      <c r="D63" s="72">
        <f t="shared" si="45"/>
        <v>80068.972009999998</v>
      </c>
      <c r="E63" s="173">
        <f t="shared" si="46"/>
        <v>15181.027990000002</v>
      </c>
      <c r="F63" s="72">
        <f t="shared" si="48"/>
        <v>75444.939050000001</v>
      </c>
      <c r="G63" s="72">
        <f t="shared" si="49"/>
        <v>89908.91105000001</v>
      </c>
      <c r="H63" s="72">
        <f t="shared" si="50"/>
        <v>75729.780410000007</v>
      </c>
      <c r="I63" s="120">
        <v>2016</v>
      </c>
      <c r="J63" s="72">
        <f t="shared" si="51"/>
        <v>75878.858209999991</v>
      </c>
      <c r="K63" s="72">
        <f t="shared" si="52"/>
        <v>90342.83021</v>
      </c>
      <c r="L63" s="72">
        <f t="shared" si="53"/>
        <v>76163.699569999997</v>
      </c>
      <c r="M63" s="121"/>
      <c r="N63" s="120">
        <v>2016</v>
      </c>
      <c r="O63" s="72">
        <f t="shared" si="54"/>
        <v>80326.529599999994</v>
      </c>
      <c r="P63" s="72">
        <f t="shared" si="55"/>
        <v>94790.501600000003</v>
      </c>
      <c r="Q63" s="72">
        <f t="shared" si="56"/>
        <v>80611.37096</v>
      </c>
      <c r="T63" s="72"/>
    </row>
    <row r="64" spans="1:26">
      <c r="A64" s="5">
        <v>2017</v>
      </c>
      <c r="B64" s="72">
        <f t="shared" si="44"/>
        <v>81368.653650000007</v>
      </c>
      <c r="C64" s="72">
        <f t="shared" si="47"/>
        <v>101472.86565000001</v>
      </c>
      <c r="D64" s="72">
        <f t="shared" si="45"/>
        <v>81643.398210000014</v>
      </c>
      <c r="E64" s="173">
        <f t="shared" si="46"/>
        <v>14038.601789999986</v>
      </c>
      <c r="F64" s="72">
        <f t="shared" si="48"/>
        <v>75337.390050000002</v>
      </c>
      <c r="G64" s="72">
        <f t="shared" si="49"/>
        <v>95441.602050000001</v>
      </c>
      <c r="H64" s="72">
        <f t="shared" si="50"/>
        <v>75612.134610000008</v>
      </c>
      <c r="I64" s="120">
        <v>2017</v>
      </c>
      <c r="J64" s="72">
        <f t="shared" si="51"/>
        <v>75940.516409999997</v>
      </c>
      <c r="K64" s="72">
        <f t="shared" si="52"/>
        <v>96044.728409999996</v>
      </c>
      <c r="L64" s="72">
        <f t="shared" si="53"/>
        <v>76215.260970000003</v>
      </c>
      <c r="M64" s="121"/>
      <c r="N64" s="120">
        <v>2017</v>
      </c>
      <c r="O64" s="72">
        <f t="shared" si="54"/>
        <v>82122.561600000001</v>
      </c>
      <c r="P64" s="72">
        <f t="shared" si="55"/>
        <v>102226.7736</v>
      </c>
      <c r="Q64" s="72">
        <f t="shared" si="56"/>
        <v>82397.306160000007</v>
      </c>
      <c r="T64" s="72"/>
    </row>
    <row r="65" spans="1:20">
      <c r="A65" s="5">
        <v>2018</v>
      </c>
      <c r="B65" s="72">
        <f t="shared" si="44"/>
        <v>82489.14665000001</v>
      </c>
      <c r="C65" s="72">
        <f t="shared" si="47"/>
        <v>106647.19865000001</v>
      </c>
      <c r="D65" s="72">
        <f t="shared" si="45"/>
        <v>82791.456650000007</v>
      </c>
      <c r="E65" s="173">
        <f t="shared" si="46"/>
        <v>14290.543349999993</v>
      </c>
      <c r="F65" s="72">
        <f t="shared" si="48"/>
        <v>75241.731050000002</v>
      </c>
      <c r="G65" s="72">
        <f t="shared" si="49"/>
        <v>99399.783049999998</v>
      </c>
      <c r="H65" s="72">
        <f t="shared" si="50"/>
        <v>75544.04105</v>
      </c>
      <c r="I65" s="120">
        <v>2018</v>
      </c>
      <c r="J65" s="72">
        <f t="shared" si="51"/>
        <v>75966.472609999997</v>
      </c>
      <c r="K65" s="72">
        <f t="shared" si="52"/>
        <v>100124.52460999999</v>
      </c>
      <c r="L65" s="72">
        <f t="shared" si="53"/>
        <v>76268.782609999995</v>
      </c>
      <c r="M65" s="121"/>
      <c r="N65" s="120">
        <v>2018</v>
      </c>
      <c r="O65" s="72">
        <f t="shared" si="54"/>
        <v>83395.073600000003</v>
      </c>
      <c r="P65" s="72">
        <f t="shared" si="55"/>
        <v>107553.1256</v>
      </c>
      <c r="Q65" s="72">
        <f t="shared" si="56"/>
        <v>83697.383600000001</v>
      </c>
      <c r="T65" s="72"/>
    </row>
    <row r="66" spans="1:20">
      <c r="A66" s="5">
        <v>2019</v>
      </c>
      <c r="B66" s="72">
        <f t="shared" si="44"/>
        <v>83515.325700000001</v>
      </c>
      <c r="C66" s="72">
        <f t="shared" si="47"/>
        <v>111963.94170000001</v>
      </c>
      <c r="D66" s="72">
        <f t="shared" si="45"/>
        <v>83846.683140000008</v>
      </c>
      <c r="E66" s="173">
        <f t="shared" si="46"/>
        <v>14944.316859999992</v>
      </c>
      <c r="F66" s="72">
        <f t="shared" si="48"/>
        <v>74980.74089999999</v>
      </c>
      <c r="G66" s="72">
        <f t="shared" si="49"/>
        <v>103429.3569</v>
      </c>
      <c r="H66" s="72">
        <f t="shared" si="50"/>
        <v>75312.098339999997</v>
      </c>
      <c r="I66" s="120">
        <v>2019</v>
      </c>
      <c r="J66" s="72">
        <f t="shared" si="51"/>
        <v>75834.199379999991</v>
      </c>
      <c r="K66" s="72">
        <f t="shared" si="52"/>
        <v>104282.81538</v>
      </c>
      <c r="L66" s="72">
        <f t="shared" si="53"/>
        <v>76165.556819999998</v>
      </c>
      <c r="M66" s="121"/>
      <c r="N66" s="120">
        <v>2019</v>
      </c>
      <c r="O66" s="72">
        <f t="shared" si="54"/>
        <v>84582.148799999995</v>
      </c>
      <c r="P66" s="72">
        <f t="shared" si="55"/>
        <v>113030.7648</v>
      </c>
      <c r="Q66" s="72">
        <f t="shared" si="56"/>
        <v>84913.506240000002</v>
      </c>
      <c r="T66" s="72"/>
    </row>
    <row r="67" spans="1:20">
      <c r="A67" s="5">
        <v>2020</v>
      </c>
      <c r="B67" s="72">
        <f t="shared" si="44"/>
        <v>84312.254549999998</v>
      </c>
      <c r="C67" s="72">
        <f t="shared" si="47"/>
        <v>117299.25855</v>
      </c>
      <c r="D67" s="72">
        <f t="shared" si="45"/>
        <v>84674.204549999995</v>
      </c>
      <c r="E67" s="173">
        <f t="shared" si="46"/>
        <v>15516.795450000005</v>
      </c>
      <c r="F67" s="72">
        <f t="shared" si="48"/>
        <v>74416.153350000008</v>
      </c>
      <c r="G67" s="72">
        <f t="shared" si="49"/>
        <v>107403.15735000001</v>
      </c>
      <c r="H67" s="72">
        <f t="shared" si="50"/>
        <v>74778.103350000005</v>
      </c>
      <c r="I67" s="120">
        <v>2020</v>
      </c>
      <c r="J67" s="72">
        <f t="shared" si="51"/>
        <v>75405.763470000005</v>
      </c>
      <c r="K67" s="72">
        <f t="shared" si="52"/>
        <v>108392.76747000001</v>
      </c>
      <c r="L67" s="72">
        <f t="shared" si="53"/>
        <v>75767.713470000002</v>
      </c>
      <c r="M67" s="121"/>
      <c r="N67" s="120">
        <v>2020</v>
      </c>
      <c r="O67" s="72">
        <f t="shared" si="54"/>
        <v>85549.267200000002</v>
      </c>
      <c r="P67" s="72">
        <f t="shared" si="55"/>
        <v>118536.2712</v>
      </c>
      <c r="Q67" s="72">
        <f t="shared" si="56"/>
        <v>85911.217199999999</v>
      </c>
      <c r="T67" s="72"/>
    </row>
    <row r="68" spans="1:20">
      <c r="A68" s="72"/>
      <c r="B68" s="112"/>
      <c r="C68" s="112"/>
      <c r="D68" s="112"/>
      <c r="E68" s="174"/>
      <c r="I68" s="120"/>
      <c r="M68" s="121"/>
      <c r="N68" s="127"/>
      <c r="O68" s="112"/>
      <c r="P68" s="112"/>
      <c r="Q68" s="112"/>
      <c r="T68" s="72"/>
    </row>
    <row r="69" spans="1:20">
      <c r="A69" s="120" t="s">
        <v>105</v>
      </c>
      <c r="B69" s="111" t="s">
        <v>276</v>
      </c>
      <c r="C69" s="111" t="s">
        <v>277</v>
      </c>
      <c r="D69" s="111" t="s">
        <v>278</v>
      </c>
      <c r="E69" s="120" t="s">
        <v>105</v>
      </c>
      <c r="F69" s="111" t="s">
        <v>279</v>
      </c>
      <c r="G69" s="111" t="s">
        <v>280</v>
      </c>
      <c r="H69" s="111" t="s">
        <v>281</v>
      </c>
      <c r="I69" s="120" t="s">
        <v>105</v>
      </c>
      <c r="J69" s="111" t="s">
        <v>282</v>
      </c>
      <c r="K69" s="111" t="s">
        <v>283</v>
      </c>
      <c r="L69" s="111" t="s">
        <v>284</v>
      </c>
      <c r="M69" s="121"/>
      <c r="N69" s="120" t="s">
        <v>105</v>
      </c>
      <c r="O69" s="111" t="s">
        <v>309</v>
      </c>
      <c r="P69" s="111" t="s">
        <v>310</v>
      </c>
      <c r="Q69" s="111" t="s">
        <v>311</v>
      </c>
      <c r="T69" s="72"/>
    </row>
    <row r="70" spans="1:20">
      <c r="A70" s="120">
        <v>2013</v>
      </c>
      <c r="B70" s="112">
        <f t="shared" ref="B70:B77" si="57">$C5-$B60</f>
        <v>10727.2071</v>
      </c>
      <c r="C70" s="112">
        <f t="shared" ref="C70:C77" si="58">$C5-$C60</f>
        <v>8235.4551000000065</v>
      </c>
      <c r="D70" s="112">
        <f t="shared" ref="D70:D77" si="59">$C5-$D60</f>
        <v>10478.031900000002</v>
      </c>
      <c r="E70" s="120">
        <v>2013</v>
      </c>
      <c r="F70" s="112">
        <f t="shared" ref="F70:F77" si="60">$C5-$F60</f>
        <v>11474.732699999993</v>
      </c>
      <c r="G70" s="112">
        <f t="shared" ref="G70:G77" si="61">$C5-$G60</f>
        <v>8982.9807000000001</v>
      </c>
      <c r="H70" s="112">
        <f t="shared" ref="H70:H77" si="62">$C5-$H60</f>
        <v>11225.557499999995</v>
      </c>
      <c r="I70" s="120">
        <v>2013</v>
      </c>
      <c r="J70" s="112">
        <f t="shared" ref="J70:J77" si="63">$C5-$J60</f>
        <v>11399.98014</v>
      </c>
      <c r="K70" s="112">
        <f t="shared" ref="K70:K77" si="64">$C5-$K60</f>
        <v>8908.2281400000065</v>
      </c>
      <c r="L70" s="112">
        <f t="shared" ref="L70:L77" si="65">$C5-$L60</f>
        <v>11150.804940000002</v>
      </c>
      <c r="M70" s="121"/>
      <c r="N70" s="120">
        <v>2013</v>
      </c>
      <c r="O70" s="112">
        <f>$C5-$O60</f>
        <v>10633.766399999993</v>
      </c>
      <c r="P70" s="161">
        <f>$C5-$P60</f>
        <v>29745.838400000001</v>
      </c>
      <c r="Q70" s="112">
        <f>$C5-$Q60</f>
        <v>10384.591199999995</v>
      </c>
      <c r="T70" s="72"/>
    </row>
    <row r="71" spans="1:20">
      <c r="A71" s="120">
        <v>2014</v>
      </c>
      <c r="B71" s="112">
        <f t="shared" si="57"/>
        <v>12359.372799999997</v>
      </c>
      <c r="C71" s="112">
        <f t="shared" si="58"/>
        <v>6655.4367999999959</v>
      </c>
      <c r="D71" s="112">
        <f t="shared" si="59"/>
        <v>12087.98943999999</v>
      </c>
      <c r="E71" s="120">
        <v>2014</v>
      </c>
      <c r="F71" s="112">
        <f t="shared" si="60"/>
        <v>14070.553599999999</v>
      </c>
      <c r="G71" s="112">
        <f t="shared" si="61"/>
        <v>8366.6175999999978</v>
      </c>
      <c r="H71" s="112">
        <f t="shared" si="62"/>
        <v>13799.170239999992</v>
      </c>
      <c r="I71" s="120">
        <v>2014</v>
      </c>
      <c r="J71" s="112">
        <f t="shared" si="63"/>
        <v>13899.435519999999</v>
      </c>
      <c r="K71" s="112">
        <f t="shared" si="64"/>
        <v>8195.4995199999976</v>
      </c>
      <c r="L71" s="112">
        <f t="shared" si="65"/>
        <v>13628.052159999992</v>
      </c>
      <c r="M71" s="121"/>
      <c r="N71" s="120">
        <v>2014</v>
      </c>
      <c r="O71" s="112">
        <f t="shared" ref="O71:O77" si="66">$C6-$O61</f>
        <v>12145.475200000001</v>
      </c>
      <c r="P71" s="161">
        <f t="shared" ref="P71:P77" si="67">$C6-$P61</f>
        <v>6441.5391999999993</v>
      </c>
      <c r="Q71" s="112">
        <f t="shared" ref="Q71:Q77" si="68">$C6-$Q61</f>
        <v>11874.091839999994</v>
      </c>
      <c r="T71" s="72"/>
    </row>
    <row r="72" spans="1:20" ht="17.25" customHeight="1">
      <c r="A72" s="120">
        <v>2015</v>
      </c>
      <c r="B72" s="112">
        <f t="shared" si="57"/>
        <v>15426.368600000002</v>
      </c>
      <c r="C72" s="112">
        <f t="shared" si="58"/>
        <v>5746.7366000000038</v>
      </c>
      <c r="D72" s="112">
        <f t="shared" si="59"/>
        <v>15142.877720000004</v>
      </c>
      <c r="E72" s="120">
        <v>2015</v>
      </c>
      <c r="F72" s="112">
        <f t="shared" si="60"/>
        <v>18330.258199999997</v>
      </c>
      <c r="G72" s="112">
        <f t="shared" si="61"/>
        <v>8650.6261999999988</v>
      </c>
      <c r="H72" s="112">
        <f t="shared" si="62"/>
        <v>18046.767319999999</v>
      </c>
      <c r="I72" s="120">
        <v>2015</v>
      </c>
      <c r="J72" s="112">
        <f t="shared" si="63"/>
        <v>18039.86924</v>
      </c>
      <c r="K72" s="112">
        <f t="shared" si="64"/>
        <v>8360.2372400000022</v>
      </c>
      <c r="L72" s="112">
        <f t="shared" si="65"/>
        <v>17756.378360000002</v>
      </c>
      <c r="M72" s="121"/>
      <c r="N72" s="120">
        <v>2015</v>
      </c>
      <c r="O72" s="112">
        <f t="shared" si="66"/>
        <v>15063.382400000002</v>
      </c>
      <c r="P72" s="161">
        <f t="shared" si="67"/>
        <v>5383.7504000000044</v>
      </c>
      <c r="Q72" s="112">
        <f t="shared" si="68"/>
        <v>14779.891520000005</v>
      </c>
      <c r="T72" s="72"/>
    </row>
    <row r="73" spans="1:20" ht="17.25" customHeight="1">
      <c r="A73" s="120">
        <v>2016</v>
      </c>
      <c r="B73" s="112">
        <f t="shared" si="57"/>
        <v>15465.869350000008</v>
      </c>
      <c r="C73" s="112">
        <f t="shared" si="58"/>
        <v>1001.8973499999993</v>
      </c>
      <c r="D73" s="112">
        <f t="shared" si="59"/>
        <v>15181.027990000002</v>
      </c>
      <c r="E73" s="120">
        <v>2016</v>
      </c>
      <c r="F73" s="112">
        <f t="shared" si="60"/>
        <v>19805.060949999999</v>
      </c>
      <c r="G73" s="112">
        <f t="shared" si="61"/>
        <v>5341.0889499999903</v>
      </c>
      <c r="H73" s="112">
        <f t="shared" si="62"/>
        <v>19520.219589999993</v>
      </c>
      <c r="I73" s="120">
        <v>2016</v>
      </c>
      <c r="J73" s="112">
        <f t="shared" si="63"/>
        <v>19371.141790000009</v>
      </c>
      <c r="K73" s="112">
        <f t="shared" si="64"/>
        <v>4907.1697899999999</v>
      </c>
      <c r="L73" s="112">
        <f t="shared" si="65"/>
        <v>19086.300430000003</v>
      </c>
      <c r="M73" s="121"/>
      <c r="N73" s="120">
        <v>2016</v>
      </c>
      <c r="O73" s="112">
        <f t="shared" si="66"/>
        <v>14923.470400000006</v>
      </c>
      <c r="P73" s="161">
        <f t="shared" si="67"/>
        <v>459.49839999999676</v>
      </c>
      <c r="Q73" s="112">
        <f t="shared" si="68"/>
        <v>14638.62904</v>
      </c>
      <c r="T73" s="72"/>
    </row>
    <row r="74" spans="1:20" ht="17.25" customHeight="1">
      <c r="A74" s="120">
        <v>2017</v>
      </c>
      <c r="B74" s="112">
        <f t="shared" si="57"/>
        <v>14313.346349999993</v>
      </c>
      <c r="C74" s="112">
        <f t="shared" si="58"/>
        <v>-5790.865650000007</v>
      </c>
      <c r="D74" s="112">
        <f t="shared" si="59"/>
        <v>14038.601789999986</v>
      </c>
      <c r="E74" s="120">
        <v>2017</v>
      </c>
      <c r="F74" s="112">
        <f t="shared" si="60"/>
        <v>20344.609949999998</v>
      </c>
      <c r="G74" s="112">
        <f t="shared" si="61"/>
        <v>240.39794999999867</v>
      </c>
      <c r="H74" s="112">
        <f t="shared" si="62"/>
        <v>20069.865389999992</v>
      </c>
      <c r="I74" s="120">
        <v>2017</v>
      </c>
      <c r="J74" s="112">
        <f t="shared" si="63"/>
        <v>19741.483590000003</v>
      </c>
      <c r="K74" s="112">
        <f t="shared" si="64"/>
        <v>-362.72840999999607</v>
      </c>
      <c r="L74" s="112">
        <f t="shared" si="65"/>
        <v>19466.739029999997</v>
      </c>
      <c r="M74" s="121"/>
      <c r="N74" s="120">
        <v>2017</v>
      </c>
      <c r="O74" s="112">
        <f t="shared" si="66"/>
        <v>13559.438399999999</v>
      </c>
      <c r="P74" s="161">
        <f t="shared" si="67"/>
        <v>-6544.7736000000004</v>
      </c>
      <c r="Q74" s="112">
        <f t="shared" si="68"/>
        <v>13284.693839999993</v>
      </c>
      <c r="T74" s="72"/>
    </row>
    <row r="75" spans="1:20" ht="17.25" customHeight="1">
      <c r="A75" s="120">
        <v>2018</v>
      </c>
      <c r="B75" s="112">
        <f t="shared" si="57"/>
        <v>14592.85334999999</v>
      </c>
      <c r="C75" s="112">
        <f t="shared" si="58"/>
        <v>-9565.1986500000057</v>
      </c>
      <c r="D75" s="112">
        <f t="shared" si="59"/>
        <v>14290.543349999993</v>
      </c>
      <c r="E75" s="120">
        <v>2018</v>
      </c>
      <c r="F75" s="112">
        <f t="shared" si="60"/>
        <v>21840.268949999998</v>
      </c>
      <c r="G75" s="112">
        <f t="shared" si="61"/>
        <v>-2317.7830499999982</v>
      </c>
      <c r="H75" s="112">
        <f t="shared" si="62"/>
        <v>21537.95895</v>
      </c>
      <c r="I75" s="120">
        <v>2018</v>
      </c>
      <c r="J75" s="112">
        <f t="shared" si="63"/>
        <v>21115.527390000003</v>
      </c>
      <c r="K75" s="112">
        <f t="shared" si="64"/>
        <v>-3042.5246099999931</v>
      </c>
      <c r="L75" s="112">
        <f t="shared" si="65"/>
        <v>20813.217390000005</v>
      </c>
      <c r="M75" s="121"/>
      <c r="N75" s="120">
        <v>2018</v>
      </c>
      <c r="O75" s="112">
        <f t="shared" si="66"/>
        <v>13686.926399999997</v>
      </c>
      <c r="P75" s="161">
        <f t="shared" si="67"/>
        <v>-10471.125599999999</v>
      </c>
      <c r="Q75" s="112">
        <f t="shared" si="68"/>
        <v>13384.616399999999</v>
      </c>
      <c r="T75" s="72"/>
    </row>
    <row r="76" spans="1:20" ht="17.25" customHeight="1">
      <c r="A76" s="120">
        <v>2019</v>
      </c>
      <c r="B76" s="112">
        <f t="shared" si="57"/>
        <v>15275.674299999999</v>
      </c>
      <c r="C76" s="112">
        <f t="shared" si="58"/>
        <v>-13172.94170000001</v>
      </c>
      <c r="D76" s="112">
        <f t="shared" si="59"/>
        <v>14944.316859999992</v>
      </c>
      <c r="E76" s="120">
        <v>2019</v>
      </c>
      <c r="F76" s="112">
        <f t="shared" si="60"/>
        <v>23810.25910000001</v>
      </c>
      <c r="G76" s="112">
        <f t="shared" si="61"/>
        <v>-4638.3568999999989</v>
      </c>
      <c r="H76" s="112">
        <f t="shared" si="62"/>
        <v>23478.901660000003</v>
      </c>
      <c r="I76" s="120">
        <v>2019</v>
      </c>
      <c r="J76" s="112">
        <f t="shared" si="63"/>
        <v>22956.800620000009</v>
      </c>
      <c r="K76" s="112">
        <f t="shared" si="64"/>
        <v>-5491.81538</v>
      </c>
      <c r="L76" s="112">
        <f t="shared" si="65"/>
        <v>22625.443180000002</v>
      </c>
      <c r="M76" s="121"/>
      <c r="N76" s="120">
        <v>2019</v>
      </c>
      <c r="O76" s="112">
        <f t="shared" si="66"/>
        <v>14208.851200000005</v>
      </c>
      <c r="P76" s="161">
        <f t="shared" si="67"/>
        <v>-14239.764800000004</v>
      </c>
      <c r="Q76" s="112">
        <f t="shared" si="68"/>
        <v>13877.493759999998</v>
      </c>
      <c r="T76" s="72"/>
    </row>
    <row r="77" spans="1:20">
      <c r="A77" s="120">
        <v>2020</v>
      </c>
      <c r="B77" s="112">
        <f t="shared" si="57"/>
        <v>15878.745450000002</v>
      </c>
      <c r="C77" s="112">
        <f t="shared" si="58"/>
        <v>-17108.258549999999</v>
      </c>
      <c r="D77" s="112">
        <f t="shared" si="59"/>
        <v>15516.795450000005</v>
      </c>
      <c r="E77" s="120">
        <v>2020</v>
      </c>
      <c r="F77" s="112">
        <f t="shared" si="60"/>
        <v>25774.846649999992</v>
      </c>
      <c r="G77" s="112">
        <f t="shared" si="61"/>
        <v>-7212.1573500000086</v>
      </c>
      <c r="H77" s="112">
        <f t="shared" si="62"/>
        <v>25412.896649999995</v>
      </c>
      <c r="I77" s="120">
        <v>2020</v>
      </c>
      <c r="J77" s="112">
        <f t="shared" si="63"/>
        <v>24785.236529999995</v>
      </c>
      <c r="K77" s="112">
        <f t="shared" si="64"/>
        <v>-8201.7674700000061</v>
      </c>
      <c r="L77" s="112">
        <f t="shared" si="65"/>
        <v>24423.286529999998</v>
      </c>
      <c r="M77" s="121"/>
      <c r="N77" s="120">
        <v>2020</v>
      </c>
      <c r="O77" s="112">
        <f t="shared" si="66"/>
        <v>14641.732799999998</v>
      </c>
      <c r="P77" s="161">
        <f t="shared" si="67"/>
        <v>-18345.271200000003</v>
      </c>
      <c r="Q77" s="112">
        <f t="shared" si="68"/>
        <v>14279.782800000001</v>
      </c>
      <c r="T77" s="72"/>
    </row>
    <row r="78" spans="1:20">
      <c r="C78" s="112"/>
      <c r="D78" s="72"/>
      <c r="E78" s="98"/>
      <c r="F78" s="72"/>
      <c r="G78" s="72"/>
      <c r="H78" s="100"/>
      <c r="I78" s="175"/>
      <c r="M78" s="121"/>
      <c r="P78" s="30" t="s">
        <v>325</v>
      </c>
      <c r="T78" s="72"/>
    </row>
    <row r="79" spans="1:20" s="156" customFormat="1">
      <c r="C79" s="157"/>
      <c r="D79" s="158"/>
      <c r="E79" s="167"/>
      <c r="F79" s="158"/>
      <c r="G79" s="158"/>
      <c r="H79" s="168"/>
      <c r="I79" s="168"/>
      <c r="T79" s="158"/>
    </row>
    <row r="80" spans="1:20" ht="18">
      <c r="A80" s="286" t="s">
        <v>319</v>
      </c>
      <c r="B80" s="285"/>
      <c r="C80" s="285"/>
      <c r="D80" s="285"/>
      <c r="E80" s="285"/>
      <c r="F80" s="176"/>
      <c r="J80" s="72"/>
      <c r="K80" s="90"/>
      <c r="T80" s="72"/>
    </row>
    <row r="81" spans="1:20">
      <c r="A81" s="166" t="s">
        <v>294</v>
      </c>
      <c r="B81" s="177"/>
      <c r="C81" s="177"/>
      <c r="D81" s="146" t="s">
        <v>321</v>
      </c>
      <c r="G81" s="10"/>
      <c r="H81" s="10"/>
      <c r="I81" s="10"/>
      <c r="J81" s="10"/>
      <c r="P81" s="141"/>
      <c r="T81" s="72"/>
    </row>
    <row r="82" spans="1:20">
      <c r="A82" s="15" t="s">
        <v>296</v>
      </c>
      <c r="B82" s="120" t="s">
        <v>201</v>
      </c>
      <c r="C82" s="141" t="s">
        <v>288</v>
      </c>
      <c r="D82" s="289" t="s">
        <v>322</v>
      </c>
      <c r="E82" s="290"/>
      <c r="G82" s="10"/>
      <c r="H82" s="10"/>
      <c r="I82" s="10"/>
      <c r="J82" s="10"/>
      <c r="T82" s="72"/>
    </row>
    <row r="83" spans="1:20">
      <c r="A83" s="16">
        <v>2013</v>
      </c>
      <c r="B83" s="131">
        <v>207646</v>
      </c>
      <c r="C83" s="72">
        <f>(B83)</f>
        <v>207646</v>
      </c>
      <c r="D83" s="291"/>
      <c r="E83" s="290"/>
      <c r="G83" s="159"/>
      <c r="H83" s="88"/>
      <c r="I83" s="88"/>
      <c r="J83" s="160"/>
      <c r="T83" s="72"/>
    </row>
    <row r="84" spans="1:20">
      <c r="A84" s="16">
        <v>2014</v>
      </c>
      <c r="B84" s="131">
        <v>267682</v>
      </c>
      <c r="C84" s="72">
        <f>B84+B83</f>
        <v>475328</v>
      </c>
      <c r="D84" s="291"/>
      <c r="E84" s="290"/>
      <c r="G84" s="159"/>
      <c r="H84" s="88"/>
      <c r="I84" s="88"/>
      <c r="J84" s="160"/>
      <c r="K84" s="90"/>
      <c r="T84" s="72"/>
    </row>
    <row r="85" spans="1:20">
      <c r="A85" s="16">
        <v>2015</v>
      </c>
      <c r="B85" s="131">
        <v>331308</v>
      </c>
      <c r="C85" s="72">
        <f>SUM(B83:B85)</f>
        <v>806636</v>
      </c>
      <c r="D85" s="291"/>
      <c r="E85" s="290"/>
      <c r="G85" s="159"/>
      <c r="H85" s="88"/>
      <c r="I85" s="88"/>
      <c r="J85" s="160"/>
      <c r="K85" s="90"/>
      <c r="T85" s="72"/>
    </row>
    <row r="86" spans="1:20">
      <c r="A86" s="16">
        <v>2016</v>
      </c>
      <c r="B86" s="131">
        <v>398695</v>
      </c>
      <c r="C86" s="72">
        <f>SUM(B83:B86)</f>
        <v>1205331</v>
      </c>
      <c r="D86" s="291"/>
      <c r="E86" s="290"/>
      <c r="G86" s="159"/>
      <c r="H86" s="88"/>
      <c r="I86" s="88"/>
      <c r="J86" s="160"/>
      <c r="K86" s="90"/>
      <c r="T86" s="72"/>
    </row>
    <row r="87" spans="1:20">
      <c r="A87" s="16">
        <v>2017</v>
      </c>
      <c r="B87" s="131">
        <v>470020</v>
      </c>
      <c r="C87" s="72">
        <f>SUM(B83:B87)</f>
        <v>1675351</v>
      </c>
      <c r="D87" s="291"/>
      <c r="E87" s="290"/>
      <c r="G87" s="159"/>
      <c r="H87" s="88"/>
      <c r="I87" s="88"/>
      <c r="J87" s="160"/>
      <c r="K87" s="90"/>
      <c r="T87" s="72"/>
    </row>
    <row r="88" spans="1:20">
      <c r="A88" s="16">
        <v>2018</v>
      </c>
      <c r="B88" s="131">
        <v>545466</v>
      </c>
      <c r="C88" s="72">
        <f>SUM(B84:B88)</f>
        <v>2013171</v>
      </c>
      <c r="D88" s="146" t="s">
        <v>323</v>
      </c>
      <c r="G88" s="159"/>
      <c r="H88" s="88"/>
      <c r="I88" s="88"/>
      <c r="J88" s="160"/>
      <c r="K88" s="90"/>
      <c r="T88" s="72"/>
    </row>
    <row r="89" spans="1:20">
      <c r="A89" s="16">
        <v>2019</v>
      </c>
      <c r="B89" s="131">
        <v>625229</v>
      </c>
      <c r="C89" s="72">
        <f>SUM(B85:B89)</f>
        <v>2370718</v>
      </c>
      <c r="D89" s="289" t="s">
        <v>324</v>
      </c>
      <c r="E89" s="290"/>
      <c r="G89" s="159"/>
      <c r="H89" s="88"/>
      <c r="I89" s="88"/>
      <c r="J89" s="160"/>
      <c r="K89" s="90"/>
      <c r="T89" s="72"/>
    </row>
    <row r="90" spans="1:20" s="141" customFormat="1">
      <c r="A90" s="16">
        <v>2020</v>
      </c>
      <c r="B90" s="131">
        <v>709507</v>
      </c>
      <c r="C90" s="72">
        <f>SUM(B86:B90)</f>
        <v>2748917</v>
      </c>
      <c r="D90" s="291"/>
      <c r="E90" s="290"/>
      <c r="G90" s="159"/>
      <c r="H90" s="88"/>
      <c r="I90" s="88"/>
      <c r="J90" s="160"/>
      <c r="K90" s="90"/>
      <c r="T90" s="72"/>
    </row>
    <row r="91" spans="1:20" s="141" customFormat="1">
      <c r="A91" s="5"/>
      <c r="B91" s="149" t="s">
        <v>297</v>
      </c>
      <c r="C91" s="131"/>
      <c r="D91" s="291"/>
      <c r="E91" s="290"/>
      <c r="G91" s="159"/>
      <c r="H91" s="88"/>
      <c r="I91" s="88"/>
      <c r="J91" s="160"/>
      <c r="K91" s="90"/>
      <c r="T91" s="72"/>
    </row>
    <row r="92" spans="1:20" s="141" customFormat="1">
      <c r="A92" s="5"/>
      <c r="B92" s="5"/>
      <c r="C92" s="5"/>
      <c r="D92" s="291"/>
      <c r="E92" s="290"/>
      <c r="G92" s="159"/>
      <c r="H92" s="88"/>
      <c r="I92" s="88"/>
      <c r="J92" s="160"/>
      <c r="K92" s="90"/>
      <c r="T92" s="72"/>
    </row>
    <row r="93" spans="1:20" s="141" customFormat="1">
      <c r="A93" s="147" t="s">
        <v>295</v>
      </c>
      <c r="B93" s="6"/>
      <c r="C93" s="134" t="s">
        <v>228</v>
      </c>
      <c r="D93" s="291"/>
      <c r="E93" s="290"/>
      <c r="G93" s="159"/>
      <c r="H93" s="88"/>
      <c r="I93" s="88"/>
      <c r="J93" s="160"/>
      <c r="K93" s="90"/>
      <c r="T93" s="72"/>
    </row>
    <row r="94" spans="1:20" s="141" customFormat="1">
      <c r="A94" s="148" t="s">
        <v>265</v>
      </c>
      <c r="B94" s="170">
        <v>50</v>
      </c>
      <c r="C94" s="140" t="s">
        <v>62</v>
      </c>
      <c r="D94" s="291"/>
      <c r="E94" s="290"/>
      <c r="G94" s="159"/>
      <c r="H94" s="88"/>
      <c r="I94" s="88"/>
      <c r="J94" s="160"/>
      <c r="K94" s="90"/>
      <c r="T94" s="72"/>
    </row>
    <row r="95" spans="1:20" s="141" customFormat="1">
      <c r="A95" s="127" t="s">
        <v>263</v>
      </c>
      <c r="B95" s="170">
        <v>300</v>
      </c>
      <c r="C95" s="140" t="s">
        <v>62</v>
      </c>
      <c r="G95" s="159"/>
      <c r="H95" s="88"/>
      <c r="I95" s="88"/>
      <c r="J95" s="160"/>
      <c r="K95" s="90"/>
      <c r="T95" s="72"/>
    </row>
    <row r="96" spans="1:20" s="141" customFormat="1">
      <c r="A96" s="127" t="s">
        <v>264</v>
      </c>
      <c r="B96" s="170">
        <v>200</v>
      </c>
      <c r="C96" s="140" t="s">
        <v>62</v>
      </c>
      <c r="D96" s="145"/>
      <c r="I96" s="88"/>
      <c r="J96" s="160"/>
      <c r="K96" s="90"/>
      <c r="T96" s="72"/>
    </row>
    <row r="97" spans="1:20" s="141" customFormat="1">
      <c r="A97" s="127" t="s">
        <v>227</v>
      </c>
      <c r="B97" s="170">
        <v>250</v>
      </c>
      <c r="C97" s="140" t="s">
        <v>62</v>
      </c>
      <c r="I97" s="88"/>
      <c r="J97" s="160"/>
      <c r="K97" s="90"/>
      <c r="T97" s="72"/>
    </row>
    <row r="98" spans="1:20" s="141" customFormat="1">
      <c r="A98" s="127" t="s">
        <v>226</v>
      </c>
      <c r="B98" s="170">
        <v>40</v>
      </c>
      <c r="C98" s="140" t="s">
        <v>62</v>
      </c>
      <c r="I98" s="88"/>
      <c r="J98" s="160"/>
      <c r="K98" s="90"/>
      <c r="T98" s="72"/>
    </row>
    <row r="99" spans="1:20" s="141" customFormat="1">
      <c r="A99" s="127" t="s">
        <v>230</v>
      </c>
      <c r="B99" s="171">
        <f>B97/B98</f>
        <v>6.25</v>
      </c>
      <c r="C99" s="138" t="s">
        <v>229</v>
      </c>
      <c r="I99" s="88"/>
      <c r="J99" s="160"/>
      <c r="K99" s="90"/>
      <c r="T99" s="72"/>
    </row>
    <row r="100" spans="1:20" s="141" customFormat="1">
      <c r="A100" s="122" t="s">
        <v>230</v>
      </c>
      <c r="B100" s="172">
        <f>B94/B98</f>
        <v>1.25</v>
      </c>
      <c r="C100" s="169" t="s">
        <v>229</v>
      </c>
      <c r="I100" s="88"/>
      <c r="J100" s="160"/>
      <c r="K100" s="90"/>
      <c r="T100" s="72"/>
    </row>
    <row r="101" spans="1:20" s="141" customFormat="1" ht="15" customHeight="1">
      <c r="A101" s="136" t="s">
        <v>315</v>
      </c>
      <c r="B101" s="137"/>
      <c r="C101" s="138"/>
      <c r="I101" s="88"/>
      <c r="J101" s="160"/>
      <c r="K101" s="90"/>
      <c r="T101" s="72"/>
    </row>
    <row r="102" spans="1:20" s="141" customFormat="1">
      <c r="A102" s="163"/>
      <c r="B102" s="164"/>
      <c r="C102" s="165"/>
      <c r="I102" s="88"/>
      <c r="J102" s="160"/>
      <c r="K102" s="90"/>
      <c r="T102" s="72"/>
    </row>
    <row r="103" spans="1:20" s="141" customFormat="1">
      <c r="A103" s="162"/>
      <c r="B103" s="162"/>
      <c r="C103" s="119"/>
      <c r="I103" s="88"/>
      <c r="J103" s="160"/>
      <c r="K103" s="90"/>
      <c r="T103" s="72"/>
    </row>
    <row r="104" spans="1:20" s="141" customFormat="1">
      <c r="A104" s="146" t="s">
        <v>312</v>
      </c>
      <c r="B104" s="166"/>
      <c r="C104" s="121"/>
      <c r="I104" s="88"/>
      <c r="J104" s="160"/>
      <c r="K104" s="90"/>
      <c r="T104" s="72"/>
    </row>
    <row r="105" spans="1:20" s="141" customFormat="1">
      <c r="A105" s="139" t="s">
        <v>313</v>
      </c>
      <c r="B105" s="139"/>
      <c r="C105" s="121"/>
      <c r="I105" s="88"/>
      <c r="J105" s="160"/>
      <c r="K105" s="90"/>
      <c r="T105" s="72"/>
    </row>
    <row r="106" spans="1:20" s="141" customFormat="1">
      <c r="A106" s="139" t="s">
        <v>314</v>
      </c>
      <c r="B106" s="10"/>
      <c r="C106" s="121"/>
      <c r="G106" s="159"/>
      <c r="H106" s="88"/>
      <c r="I106" s="88"/>
      <c r="J106" s="160"/>
      <c r="K106" s="90"/>
      <c r="T106" s="72"/>
    </row>
    <row r="107" spans="1:20" s="141" customFormat="1">
      <c r="A107" s="10"/>
      <c r="B107" s="10"/>
      <c r="C107" s="121"/>
      <c r="G107" s="159"/>
      <c r="H107" s="88"/>
      <c r="I107" s="88"/>
      <c r="J107" s="160"/>
      <c r="K107" s="90"/>
      <c r="T107" s="72"/>
    </row>
    <row r="108" spans="1:20" s="141" customFormat="1">
      <c r="A108" s="166" t="s">
        <v>320</v>
      </c>
      <c r="B108" s="10"/>
      <c r="C108" s="121"/>
      <c r="G108" s="159"/>
      <c r="H108" s="88"/>
      <c r="I108" s="88"/>
      <c r="J108" s="160"/>
      <c r="K108" s="90"/>
      <c r="T108" s="72"/>
    </row>
    <row r="109" spans="1:20" s="141" customFormat="1" ht="16.5" customHeight="1">
      <c r="A109" s="287" t="s">
        <v>317</v>
      </c>
      <c r="B109" s="270"/>
      <c r="C109" s="288"/>
      <c r="E109" s="88"/>
      <c r="F109" s="88"/>
      <c r="G109" s="160"/>
      <c r="H109" s="90"/>
      <c r="Q109" s="72"/>
    </row>
    <row r="110" spans="1:20" s="141" customFormat="1" ht="16.5" customHeight="1">
      <c r="A110" s="270"/>
      <c r="B110" s="270"/>
      <c r="C110" s="288"/>
      <c r="E110" s="88"/>
      <c r="F110" s="88"/>
      <c r="G110" s="160"/>
      <c r="H110" s="90"/>
      <c r="Q110" s="72"/>
    </row>
    <row r="111" spans="1:20" s="156" customFormat="1" ht="16.5" customHeight="1">
      <c r="A111" s="179"/>
      <c r="B111" s="179"/>
      <c r="C111" s="179"/>
      <c r="D111" s="178"/>
      <c r="E111" s="180"/>
      <c r="F111" s="180"/>
      <c r="G111" s="181"/>
      <c r="H111" s="182"/>
      <c r="Q111" s="158"/>
    </row>
    <row r="112" spans="1:20" s="141" customFormat="1" ht="16.5" customHeight="1">
      <c r="A112" s="284" t="s">
        <v>326</v>
      </c>
      <c r="B112" s="285"/>
      <c r="C112" s="285"/>
      <c r="D112" s="285"/>
      <c r="E112" s="176"/>
      <c r="F112" s="176"/>
      <c r="G112" s="160"/>
      <c r="H112" s="86"/>
      <c r="Q112" s="72"/>
    </row>
    <row r="113" spans="1:20" s="141" customFormat="1" ht="16.5" customHeight="1">
      <c r="A113" s="270" t="s">
        <v>327</v>
      </c>
      <c r="B113" s="271"/>
      <c r="C113" s="271"/>
      <c r="D113" s="271"/>
      <c r="E113" s="271"/>
      <c r="F113" s="88"/>
      <c r="G113" s="160"/>
      <c r="H113" s="86"/>
      <c r="Q113" s="72"/>
    </row>
    <row r="114" spans="1:20" s="141" customFormat="1" ht="16.5" customHeight="1">
      <c r="A114" s="270" t="s">
        <v>328</v>
      </c>
      <c r="B114" s="271"/>
      <c r="C114" s="271"/>
      <c r="D114" s="271"/>
      <c r="E114" s="271"/>
      <c r="F114" s="88"/>
      <c r="G114" s="160"/>
      <c r="H114" s="86"/>
      <c r="Q114" s="72"/>
    </row>
    <row r="115" spans="1:20" s="141" customFormat="1" ht="16.5" customHeight="1">
      <c r="A115" s="270" t="s">
        <v>329</v>
      </c>
      <c r="B115" s="271"/>
      <c r="C115" s="271"/>
      <c r="D115" s="271"/>
      <c r="E115" s="271"/>
      <c r="F115" s="88"/>
      <c r="G115" s="160"/>
      <c r="H115" s="86"/>
      <c r="Q115" s="72"/>
    </row>
    <row r="116" spans="1:20" s="141" customFormat="1" ht="16.5" customHeight="1">
      <c r="A116" s="270"/>
      <c r="B116" s="271"/>
      <c r="C116" s="271"/>
      <c r="D116" s="271"/>
      <c r="E116" s="271"/>
      <c r="F116" s="88"/>
      <c r="G116" s="160"/>
      <c r="H116" s="86"/>
      <c r="Q116" s="72"/>
    </row>
    <row r="117" spans="1:20" s="141" customFormat="1" ht="16.5" customHeight="1">
      <c r="A117" s="270"/>
      <c r="B117" s="271"/>
      <c r="C117" s="271"/>
      <c r="D117" s="271"/>
      <c r="E117" s="271"/>
      <c r="F117" s="88"/>
      <c r="G117" s="160"/>
      <c r="H117" s="86"/>
      <c r="Q117" s="72"/>
    </row>
    <row r="118" spans="1:20" s="141" customFormat="1" ht="20">
      <c r="A118" s="284" t="s">
        <v>318</v>
      </c>
      <c r="B118" s="285"/>
      <c r="C118" s="285"/>
      <c r="D118" s="285"/>
      <c r="E118" s="176"/>
      <c r="F118" s="176"/>
      <c r="G118" s="160"/>
      <c r="H118" s="90"/>
      <c r="Q118" s="72"/>
    </row>
    <row r="119" spans="1:20" s="141" customFormat="1" ht="15" customHeight="1">
      <c r="A119" s="292" t="s">
        <v>316</v>
      </c>
      <c r="B119" s="292"/>
      <c r="C119" s="292"/>
      <c r="D119" s="292"/>
      <c r="G119" s="159"/>
      <c r="H119" s="88"/>
      <c r="I119" s="88"/>
      <c r="J119" s="160"/>
      <c r="K119" s="90"/>
      <c r="T119" s="72"/>
    </row>
    <row r="120" spans="1:20" s="141" customFormat="1">
      <c r="A120" s="292"/>
      <c r="B120" s="292"/>
      <c r="C120" s="292"/>
      <c r="D120" s="292"/>
      <c r="G120" s="159"/>
      <c r="H120" s="88"/>
      <c r="I120" s="88"/>
      <c r="J120" s="160"/>
      <c r="K120" s="90"/>
      <c r="T120" s="72"/>
    </row>
    <row r="121" spans="1:20" s="141" customFormat="1">
      <c r="A121" s="292"/>
      <c r="B121" s="292"/>
      <c r="C121" s="292"/>
      <c r="D121" s="292"/>
      <c r="G121" s="159"/>
      <c r="H121" s="88"/>
      <c r="I121" s="88"/>
      <c r="J121" s="160"/>
      <c r="K121" s="90"/>
      <c r="T121" s="72"/>
    </row>
    <row r="122" spans="1:20" s="141" customFormat="1">
      <c r="A122" s="292"/>
      <c r="B122" s="292"/>
      <c r="C122" s="292"/>
      <c r="D122" s="292"/>
      <c r="G122" s="159"/>
      <c r="H122" s="88"/>
      <c r="I122" s="88"/>
      <c r="J122" s="160"/>
      <c r="K122" s="90"/>
      <c r="T122" s="72"/>
    </row>
    <row r="123" spans="1:20" s="141" customFormat="1">
      <c r="A123" s="292"/>
      <c r="B123" s="292"/>
      <c r="C123" s="292"/>
      <c r="D123" s="292"/>
      <c r="G123" s="159"/>
      <c r="H123" s="88"/>
      <c r="I123" s="88"/>
      <c r="J123" s="160"/>
      <c r="K123" s="90"/>
      <c r="T123" s="72"/>
    </row>
    <row r="124" spans="1:20" s="141" customFormat="1">
      <c r="A124" s="292"/>
      <c r="B124" s="292"/>
      <c r="C124" s="292"/>
      <c r="D124" s="292"/>
      <c r="G124" s="159"/>
      <c r="H124" s="88"/>
      <c r="I124" s="88"/>
      <c r="J124" s="160"/>
      <c r="K124" s="90"/>
      <c r="T124" s="72"/>
    </row>
    <row r="125" spans="1:20" s="141" customFormat="1">
      <c r="A125" s="292"/>
      <c r="B125" s="292"/>
      <c r="C125" s="292"/>
      <c r="D125" s="292"/>
      <c r="G125" s="159"/>
      <c r="H125" s="88"/>
      <c r="I125" s="88"/>
      <c r="J125" s="160"/>
      <c r="K125" s="90"/>
      <c r="T125" s="72"/>
    </row>
    <row r="126" spans="1:20" s="141" customFormat="1">
      <c r="A126" s="292"/>
      <c r="B126" s="292"/>
      <c r="C126" s="292"/>
      <c r="D126" s="292"/>
      <c r="G126" s="159"/>
      <c r="H126" s="88"/>
      <c r="I126" s="88"/>
      <c r="J126" s="160"/>
      <c r="K126" s="90"/>
      <c r="T126" s="72"/>
    </row>
    <row r="127" spans="1:20" s="141" customFormat="1">
      <c r="A127" s="292"/>
      <c r="B127" s="292"/>
      <c r="C127" s="292"/>
      <c r="D127" s="292"/>
      <c r="G127" s="159"/>
      <c r="H127" s="88"/>
      <c r="I127" s="88"/>
      <c r="J127" s="160"/>
      <c r="K127" s="90"/>
      <c r="T127" s="72"/>
    </row>
    <row r="128" spans="1:20" s="141" customFormat="1">
      <c r="A128" s="292"/>
      <c r="B128" s="292"/>
      <c r="C128" s="292"/>
      <c r="D128" s="292"/>
      <c r="G128" s="159"/>
      <c r="H128" s="88"/>
      <c r="I128" s="88"/>
      <c r="J128" s="160"/>
      <c r="K128" s="90"/>
      <c r="T128" s="72"/>
    </row>
    <row r="129" spans="1:21">
      <c r="A129" s="292"/>
      <c r="B129" s="292"/>
      <c r="C129" s="292"/>
      <c r="D129" s="292"/>
      <c r="G129" s="159"/>
      <c r="H129" s="88"/>
      <c r="I129" s="88"/>
      <c r="J129" s="160"/>
      <c r="K129" s="90"/>
      <c r="T129" s="72"/>
    </row>
    <row r="130" spans="1:21">
      <c r="A130" s="156"/>
      <c r="B130" s="156"/>
      <c r="C130" s="157"/>
      <c r="D130" s="158"/>
      <c r="E130" s="156"/>
      <c r="F130" s="156"/>
      <c r="G130" s="156"/>
      <c r="H130" s="156"/>
      <c r="I130" s="156"/>
      <c r="J130" s="156"/>
      <c r="T130" s="72"/>
    </row>
    <row r="131" spans="1:21">
      <c r="T131" s="72"/>
    </row>
    <row r="132" spans="1:21">
      <c r="A132" s="141" t="s">
        <v>301</v>
      </c>
      <c r="B132" s="141" t="s">
        <v>302</v>
      </c>
      <c r="C132" s="90"/>
      <c r="D132" s="90"/>
      <c r="H132" s="72"/>
      <c r="I132" s="90"/>
      <c r="T132" s="72"/>
    </row>
    <row r="133" spans="1:21">
      <c r="C133" s="90"/>
      <c r="D133" s="90"/>
      <c r="H133" s="72"/>
      <c r="I133" s="90"/>
      <c r="T133" s="72"/>
    </row>
    <row r="134" spans="1:21">
      <c r="C134" s="90"/>
      <c r="D134" s="90"/>
      <c r="H134" s="72"/>
      <c r="I134" s="90"/>
      <c r="T134" s="72"/>
    </row>
    <row r="135" spans="1:21">
      <c r="A135" s="141" t="s">
        <v>298</v>
      </c>
      <c r="H135" s="72"/>
      <c r="I135" s="90"/>
      <c r="T135" s="72"/>
    </row>
    <row r="136" spans="1:21">
      <c r="A136" s="92" t="s">
        <v>216</v>
      </c>
      <c r="B136" s="93" t="s">
        <v>104</v>
      </c>
      <c r="C136" s="152" t="s">
        <v>217</v>
      </c>
      <c r="D136" s="93" t="s">
        <v>218</v>
      </c>
      <c r="E136" s="93" t="s">
        <v>219</v>
      </c>
      <c r="F136" s="93" t="s">
        <v>220</v>
      </c>
      <c r="H136" s="72"/>
      <c r="I136" s="90"/>
      <c r="T136" s="72"/>
    </row>
    <row r="137" spans="1:21">
      <c r="A137" s="94" t="s">
        <v>221</v>
      </c>
      <c r="B137" s="114">
        <v>17541935</v>
      </c>
      <c r="C137" s="153">
        <v>13240383</v>
      </c>
      <c r="D137" s="114">
        <v>1066508</v>
      </c>
      <c r="E137" s="114">
        <v>3180941</v>
      </c>
      <c r="F137" s="114">
        <v>54103</v>
      </c>
      <c r="H137" s="72"/>
      <c r="I137" s="90"/>
      <c r="T137" s="72"/>
    </row>
    <row r="138" spans="1:21">
      <c r="A138" s="95" t="s">
        <v>222</v>
      </c>
      <c r="B138" s="115">
        <v>-3.7</v>
      </c>
      <c r="C138" s="154">
        <v>-5</v>
      </c>
      <c r="D138" s="115" t="s">
        <v>223</v>
      </c>
      <c r="E138" s="115">
        <v>-0.8</v>
      </c>
      <c r="F138" s="115">
        <v>-2</v>
      </c>
      <c r="H138" s="72"/>
      <c r="I138" s="90"/>
      <c r="T138" s="72"/>
    </row>
    <row r="139" spans="1:21">
      <c r="A139" s="96">
        <v>2009</v>
      </c>
      <c r="B139" s="116">
        <v>17325210</v>
      </c>
      <c r="C139" s="155">
        <v>13023803</v>
      </c>
      <c r="D139" s="116">
        <v>1080705</v>
      </c>
      <c r="E139" s="116">
        <v>3166971</v>
      </c>
      <c r="F139" s="116">
        <v>53731</v>
      </c>
      <c r="H139" s="72"/>
      <c r="I139" s="90"/>
      <c r="T139" s="72"/>
    </row>
    <row r="140" spans="1:21" ht="16.5" customHeight="1">
      <c r="A140" s="96">
        <v>2008</v>
      </c>
      <c r="B140" s="116">
        <v>16794287</v>
      </c>
      <c r="C140" s="155">
        <v>12483809</v>
      </c>
      <c r="D140" s="116">
        <v>1096726</v>
      </c>
      <c r="E140" s="116">
        <v>3160845</v>
      </c>
      <c r="F140" s="116">
        <v>52907</v>
      </c>
      <c r="H140" s="72"/>
      <c r="I140" s="90"/>
      <c r="T140" s="72"/>
    </row>
    <row r="141" spans="1:21">
      <c r="A141" s="96">
        <v>2007</v>
      </c>
      <c r="B141" s="116">
        <v>16428245</v>
      </c>
      <c r="C141" s="155">
        <v>12099793</v>
      </c>
      <c r="D141" s="116">
        <v>1104960</v>
      </c>
      <c r="E141" s="116">
        <v>3171393</v>
      </c>
      <c r="F141" s="116">
        <v>52099</v>
      </c>
      <c r="H141" s="72"/>
      <c r="I141" s="90"/>
      <c r="T141" s="72"/>
    </row>
    <row r="142" spans="1:21">
      <c r="A142" s="96">
        <v>2006</v>
      </c>
      <c r="B142" s="116">
        <v>15895303</v>
      </c>
      <c r="C142" s="155">
        <v>11606986</v>
      </c>
      <c r="D142" s="116">
        <v>1105647</v>
      </c>
      <c r="E142" s="116">
        <v>3133243</v>
      </c>
      <c r="F142" s="116">
        <v>49427</v>
      </c>
      <c r="H142" s="72"/>
      <c r="I142" s="90"/>
      <c r="T142" s="72"/>
    </row>
    <row r="143" spans="1:21">
      <c r="A143" s="96">
        <v>2005</v>
      </c>
      <c r="B143" s="116">
        <v>15397095</v>
      </c>
      <c r="C143" s="155">
        <v>11122214</v>
      </c>
      <c r="D143" s="116">
        <v>1124961</v>
      </c>
      <c r="E143" s="116">
        <v>3102219</v>
      </c>
      <c r="F143" s="116">
        <v>47701</v>
      </c>
      <c r="T143" s="72">
        <f>Y13*0.1</f>
        <v>0</v>
      </c>
      <c r="U143" s="5">
        <f>Y13*0.9</f>
        <v>0</v>
      </c>
    </row>
    <row r="144" spans="1:21">
      <c r="A144" s="96">
        <v>2004</v>
      </c>
      <c r="B144" s="116">
        <v>14934474</v>
      </c>
      <c r="C144" s="155">
        <v>10620574</v>
      </c>
      <c r="D144" s="116">
        <v>1204625</v>
      </c>
      <c r="E144" s="116">
        <v>3062366</v>
      </c>
      <c r="F144" s="116">
        <v>46909</v>
      </c>
      <c r="T144" s="72"/>
    </row>
    <row r="145" spans="1:20">
      <c r="A145" s="96">
        <v>2003</v>
      </c>
      <c r="B145" s="116">
        <v>14587333</v>
      </c>
      <c r="C145" s="155">
        <v>10278940</v>
      </c>
      <c r="D145" s="116">
        <v>1247095</v>
      </c>
      <c r="E145" s="116">
        <v>3016461</v>
      </c>
      <c r="F145" s="116">
        <v>44837</v>
      </c>
      <c r="T145" s="72"/>
    </row>
    <row r="146" spans="1:20">
      <c r="A146" s="117"/>
      <c r="T146" s="72"/>
    </row>
    <row r="147" spans="1:20">
      <c r="B147" s="141" t="s">
        <v>225</v>
      </c>
      <c r="C147" s="118">
        <f>(C137-C139)/C139</f>
        <v>1.6629551291585106E-2</v>
      </c>
      <c r="T147" s="72"/>
    </row>
    <row r="148" spans="1:20">
      <c r="T148" s="72"/>
    </row>
    <row r="149" spans="1:20">
      <c r="T149" s="72"/>
    </row>
    <row r="150" spans="1:20">
      <c r="T150" s="72"/>
    </row>
    <row r="151" spans="1:20">
      <c r="A151" s="283" t="s">
        <v>299</v>
      </c>
      <c r="B151" s="283"/>
      <c r="C151" s="283"/>
      <c r="D151" s="283"/>
      <c r="I151" s="113"/>
      <c r="T151" s="72"/>
    </row>
    <row r="152" spans="1:20">
      <c r="B152" s="141" t="s">
        <v>300</v>
      </c>
      <c r="G152" s="90" t="s">
        <v>215</v>
      </c>
      <c r="H152" s="90" t="s">
        <v>215</v>
      </c>
    </row>
    <row r="153" spans="1:20">
      <c r="A153" s="15">
        <v>2010</v>
      </c>
      <c r="B153" s="151">
        <v>13240383</v>
      </c>
      <c r="D153" s="78"/>
      <c r="G153" s="90" t="e">
        <f>#REF!/-1400</f>
        <v>#REF!</v>
      </c>
      <c r="H153" s="90" t="e">
        <f>#REF!/1400</f>
        <v>#REF!</v>
      </c>
    </row>
    <row r="154" spans="1:20">
      <c r="A154" s="15">
        <v>2011</v>
      </c>
      <c r="B154" s="150">
        <f>B153*1.0166</f>
        <v>13460173.357799999</v>
      </c>
      <c r="D154" s="78"/>
      <c r="G154" s="90" t="e">
        <f>#REF!/-1400</f>
        <v>#REF!</v>
      </c>
      <c r="H154" s="90" t="e">
        <f>#REF!/1400</f>
        <v>#REF!</v>
      </c>
    </row>
    <row r="155" spans="1:20">
      <c r="A155" s="15">
        <v>2012</v>
      </c>
      <c r="B155" s="150">
        <f>B154*1.0166</f>
        <v>13683612.235539479</v>
      </c>
      <c r="D155" s="78"/>
      <c r="G155" s="90" t="e">
        <f>#REF!/-1400</f>
        <v>#REF!</v>
      </c>
      <c r="H155" s="90" t="e">
        <f>#REF!/1400</f>
        <v>#REF!</v>
      </c>
    </row>
    <row r="156" spans="1:20">
      <c r="A156" s="15">
        <v>2013</v>
      </c>
      <c r="B156" s="150">
        <f t="shared" ref="B156:B163" si="69">B155*1.0166</f>
        <v>13910760.198649434</v>
      </c>
      <c r="D156" s="78"/>
      <c r="G156" s="90" t="e">
        <f>#REF!/-1400</f>
        <v>#REF!</v>
      </c>
      <c r="H156" s="90" t="e">
        <f>#REF!/1400</f>
        <v>#REF!</v>
      </c>
    </row>
    <row r="157" spans="1:20">
      <c r="A157" s="15">
        <v>2014</v>
      </c>
      <c r="B157" s="150">
        <f t="shared" si="69"/>
        <v>14141678.817947015</v>
      </c>
      <c r="D157" s="78"/>
      <c r="G157" s="90" t="e">
        <f>#REF!/-1400</f>
        <v>#REF!</v>
      </c>
      <c r="H157" s="90" t="e">
        <f>#REF!/-1400</f>
        <v>#REF!</v>
      </c>
    </row>
    <row r="158" spans="1:20">
      <c r="A158" s="15">
        <v>2015</v>
      </c>
      <c r="B158" s="150">
        <f t="shared" si="69"/>
        <v>14376430.686324935</v>
      </c>
      <c r="D158" s="78"/>
      <c r="G158" s="90" t="e">
        <f>#REF!/-1400</f>
        <v>#REF!</v>
      </c>
      <c r="H158" s="90" t="e">
        <f>#REF!/-1400</f>
        <v>#REF!</v>
      </c>
    </row>
    <row r="159" spans="1:20">
      <c r="A159" s="15">
        <v>2016</v>
      </c>
      <c r="B159" s="150">
        <f t="shared" si="69"/>
        <v>14615079.435717929</v>
      </c>
      <c r="D159" s="78"/>
      <c r="G159" s="90" t="e">
        <f>#REF!/-1400</f>
        <v>#REF!</v>
      </c>
      <c r="H159" s="90" t="e">
        <f>#REF!/-1400</f>
        <v>#REF!</v>
      </c>
    </row>
    <row r="160" spans="1:20" ht="15" customHeight="1">
      <c r="A160" s="15">
        <v>2017</v>
      </c>
      <c r="B160" s="150">
        <f t="shared" si="69"/>
        <v>14857689.754350847</v>
      </c>
      <c r="G160" s="90" t="e">
        <f>#REF!/-1400</f>
        <v>#REF!</v>
      </c>
      <c r="H160" s="90" t="e">
        <f>#REF!/-1400</f>
        <v>#REF!</v>
      </c>
    </row>
    <row r="161" spans="1:15">
      <c r="A161" s="15">
        <v>2018</v>
      </c>
      <c r="B161" s="150">
        <f t="shared" si="69"/>
        <v>15104327.40427307</v>
      </c>
      <c r="G161" s="90"/>
    </row>
    <row r="162" spans="1:15">
      <c r="A162" s="15">
        <v>2019</v>
      </c>
      <c r="B162" s="150">
        <f t="shared" si="69"/>
        <v>15355059.239184003</v>
      </c>
    </row>
    <row r="163" spans="1:15">
      <c r="A163" s="15">
        <v>2020</v>
      </c>
      <c r="B163" s="150">
        <f t="shared" si="69"/>
        <v>15609953.222554456</v>
      </c>
    </row>
    <row r="164" spans="1:15">
      <c r="A164" s="139"/>
      <c r="B164" s="139"/>
      <c r="F164" s="141"/>
    </row>
    <row r="165" spans="1:15">
      <c r="A165" s="139"/>
      <c r="B165" s="139"/>
      <c r="F165" s="141"/>
    </row>
    <row r="166" spans="1:15">
      <c r="A166" s="135"/>
      <c r="B166" s="135"/>
      <c r="F166" s="141"/>
    </row>
    <row r="167" spans="1:15">
      <c r="A167" s="135"/>
      <c r="B167" s="135"/>
      <c r="C167" s="135"/>
      <c r="D167" s="135"/>
      <c r="E167" s="141"/>
      <c r="F167" s="141"/>
    </row>
    <row r="168" spans="1:15">
      <c r="A168" s="135"/>
      <c r="B168" s="135"/>
      <c r="C168" s="135"/>
      <c r="D168" s="135"/>
      <c r="E168" s="141"/>
      <c r="F168" s="141"/>
    </row>
    <row r="169" spans="1:15">
      <c r="A169" s="135"/>
      <c r="B169" s="135"/>
      <c r="C169" s="135"/>
      <c r="D169" s="135"/>
      <c r="E169" s="141"/>
      <c r="F169" s="141"/>
    </row>
    <row r="170" spans="1:15">
      <c r="A170" s="135"/>
      <c r="B170" s="135"/>
      <c r="C170" s="135"/>
      <c r="D170" s="135"/>
      <c r="E170" s="141"/>
      <c r="F170" s="141"/>
      <c r="O170" s="78"/>
    </row>
    <row r="181" spans="4:17">
      <c r="I181" s="72"/>
    </row>
    <row r="183" spans="4:17" ht="16.5" customHeight="1"/>
    <row r="187" spans="4:17">
      <c r="D187" s="72"/>
      <c r="Q187" s="113" t="s">
        <v>224</v>
      </c>
    </row>
    <row r="188" spans="4:17">
      <c r="H188" s="78"/>
      <c r="L188" s="90"/>
    </row>
    <row r="189" spans="4:17">
      <c r="L189" s="90"/>
    </row>
    <row r="190" spans="4:17">
      <c r="L190" s="90"/>
    </row>
    <row r="191" spans="4:17">
      <c r="L191" s="90"/>
    </row>
    <row r="192" spans="4:17">
      <c r="L192" s="90"/>
    </row>
    <row r="193" spans="12:12">
      <c r="L193" s="90"/>
    </row>
    <row r="194" spans="12:12">
      <c r="L194" s="90"/>
    </row>
    <row r="195" spans="12:12">
      <c r="L195" s="90"/>
    </row>
    <row r="209" spans="11:18">
      <c r="R209" s="118">
        <f>((C137/C145)^(1/8))-1</f>
        <v>3.2152876223796589E-2</v>
      </c>
    </row>
    <row r="210" spans="11:18">
      <c r="L210" s="72"/>
      <c r="M210" s="72"/>
      <c r="N210" s="72"/>
      <c r="O210" s="72"/>
    </row>
    <row r="211" spans="11:18">
      <c r="L211" s="118"/>
      <c r="M211" s="118"/>
      <c r="N211" s="118"/>
      <c r="O211" s="118"/>
    </row>
    <row r="212" spans="11:18">
      <c r="K212" s="72"/>
    </row>
    <row r="214" spans="11:18">
      <c r="M214" s="118"/>
    </row>
  </sheetData>
  <mergeCells count="30">
    <mergeCell ref="N57:U57"/>
    <mergeCell ref="N58:R58"/>
    <mergeCell ref="N34:U34"/>
    <mergeCell ref="N35:R35"/>
    <mergeCell ref="A151:D151"/>
    <mergeCell ref="A118:D118"/>
    <mergeCell ref="A80:E80"/>
    <mergeCell ref="A109:C110"/>
    <mergeCell ref="D82:E87"/>
    <mergeCell ref="D89:E94"/>
    <mergeCell ref="A112:D112"/>
    <mergeCell ref="A113:E113"/>
    <mergeCell ref="A114:E114"/>
    <mergeCell ref="A115:E115"/>
    <mergeCell ref="A116:E116"/>
    <mergeCell ref="A119:D129"/>
    <mergeCell ref="A117:E117"/>
    <mergeCell ref="A57:D57"/>
    <mergeCell ref="A58:E58"/>
    <mergeCell ref="F58:I58"/>
    <mergeCell ref="H2:K2"/>
    <mergeCell ref="J35:M35"/>
    <mergeCell ref="E24:G24"/>
    <mergeCell ref="A24:D24"/>
    <mergeCell ref="A35:E35"/>
    <mergeCell ref="F35:I35"/>
    <mergeCell ref="A1:C3"/>
    <mergeCell ref="A34:D34"/>
    <mergeCell ref="J58:L58"/>
    <mergeCell ref="E2:G2"/>
  </mergeCells>
  <hyperlinks>
    <hyperlink ref="C187" r:id="rId1" display="http://steps.ucdavis.edu/People/bdjungers/Plug-In Hybrid Electric Vehicles - Promise, Issues, and Prospects.pdf"/>
    <hyperlink ref="A143" r:id="rId2" display="https://www.kama.or.kr/eng/R&amp;s/Rsoften_e?key=KEEP&amp;cmd=USERDETAIL&amp;ymGb=month&amp;rsyear=2005"/>
    <hyperlink ref="A144" r:id="rId3" display="https://www.kama.or.kr/eng/R&amp;s/Rsoften_e?key=KEEP&amp;cmd=USERDETAIL&amp;ymGb=month&amp;rsyear=2004"/>
    <hyperlink ref="A145" r:id="rId4" display="https://www.kama.or.kr/eng/R&amp;s/Rsoften_e?key=KEEP&amp;cmd=USERDETAIL&amp;ymGb=month&amp;rsyear=2003"/>
    <hyperlink ref="Q187" r:id="rId5"/>
    <hyperlink ref="A142" r:id="rId6" display="https://www.kama.or.kr/eng/R&amp;s/Rsoften_e?key=KEEP&amp;cmd=USERDETAIL&amp;ymGb=month&amp;rsyear=2006"/>
    <hyperlink ref="A141" r:id="rId7" display="https://www.kama.or.kr/eng/R&amp;s/Rsoften_e?key=KEEP&amp;cmd=USERDETAIL&amp;ymGb=month&amp;rsyear=2007"/>
    <hyperlink ref="A140" r:id="rId8" display="https://www.kama.or.kr/eng/R&amp;s/Rsoften_e?key=KEEP&amp;cmd=USERDETAIL&amp;ymGb=month&amp;rsyear=2008"/>
    <hyperlink ref="A139" r:id="rId9" display="https://www.kama.or.kr/eng/R&amp;s/Rsoften_e?key=KEEP&amp;cmd=USERDETAIL&amp;ymGb=month&amp;rsyear=2009"/>
    <hyperlink ref="A138" r:id="rId10" display="https://www.kama.or.kr/eng/R&amp;s/Rsoften_e?key=KEEP&amp;cmd=USERDETAIL&amp;ymGb=month&amp;rsyear=2010"/>
    <hyperlink ref="A137" r:id="rId11" display="https://www.kama.or.kr/eng/R&amp;s/Rsoften_e?key=KEEP&amp;cmd=USERDETAIL&amp;ymGb=month&amp;rsyear=2010"/>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J49"/>
  <sheetViews>
    <sheetView topLeftCell="A16" workbookViewId="0">
      <selection activeCell="H36" sqref="H36"/>
    </sheetView>
  </sheetViews>
  <sheetFormatPr baseColWidth="10" defaultColWidth="8.83203125" defaultRowHeight="14" x14ac:dyDescent="0"/>
  <cols>
    <col min="2" max="2" width="52.33203125" bestFit="1" customWidth="1"/>
    <col min="3" max="3" width="23.6640625" bestFit="1" customWidth="1"/>
    <col min="4" max="4" width="18" bestFit="1" customWidth="1"/>
    <col min="7" max="7" width="24.5" bestFit="1" customWidth="1"/>
    <col min="8" max="8" width="7.33203125" bestFit="1" customWidth="1"/>
  </cols>
  <sheetData>
    <row r="8" spans="2:8">
      <c r="B8" t="s">
        <v>136</v>
      </c>
    </row>
    <row r="9" spans="2:8">
      <c r="B9" s="1" t="s">
        <v>137</v>
      </c>
    </row>
    <row r="13" spans="2:8">
      <c r="C13" s="11"/>
      <c r="D13" s="27"/>
    </row>
    <row r="14" spans="2:8">
      <c r="B14" t="s">
        <v>253</v>
      </c>
      <c r="D14" s="68">
        <f>(H17/10)*C15</f>
        <v>3444000000</v>
      </c>
      <c r="G14" t="s">
        <v>403</v>
      </c>
      <c r="H14" s="9">
        <v>10</v>
      </c>
    </row>
    <row r="15" spans="2:8">
      <c r="B15" t="s">
        <v>139</v>
      </c>
      <c r="C15" s="2">
        <v>3500000</v>
      </c>
      <c r="D15" s="68"/>
      <c r="G15" t="s">
        <v>404</v>
      </c>
      <c r="H15" s="9">
        <v>30</v>
      </c>
    </row>
    <row r="16" spans="2:8">
      <c r="C16" s="2"/>
      <c r="D16" s="68"/>
      <c r="G16" t="s">
        <v>402</v>
      </c>
      <c r="H16">
        <v>328</v>
      </c>
    </row>
    <row r="17" spans="2:10" ht="15" thickBot="1">
      <c r="B17" t="s">
        <v>254</v>
      </c>
      <c r="C17" s="2"/>
      <c r="D17" s="9">
        <v>2000</v>
      </c>
      <c r="G17" s="65" t="s">
        <v>138</v>
      </c>
      <c r="H17" s="66">
        <f>H15*328</f>
        <v>9840</v>
      </c>
    </row>
    <row r="18" spans="2:10" ht="16" thickTop="1" thickBot="1">
      <c r="B18" s="123" t="s">
        <v>255</v>
      </c>
      <c r="C18" s="123"/>
      <c r="D18" s="124">
        <v>3500000</v>
      </c>
      <c r="E18" s="69"/>
      <c r="G18" s="67"/>
      <c r="H18" s="27"/>
    </row>
    <row r="19" spans="2:10" ht="15" thickTop="1">
      <c r="B19" t="s">
        <v>256</v>
      </c>
      <c r="D19" s="9">
        <f>SUM(D17:D18)</f>
        <v>3502000</v>
      </c>
      <c r="E19" s="69"/>
    </row>
    <row r="20" spans="2:10">
      <c r="D20" s="9"/>
      <c r="E20" s="69"/>
    </row>
    <row r="21" spans="2:10">
      <c r="B21" t="s">
        <v>257</v>
      </c>
      <c r="C21" t="s">
        <v>261</v>
      </c>
      <c r="D21" s="9"/>
      <c r="E21" s="69"/>
    </row>
    <row r="22" spans="2:10">
      <c r="B22" t="s">
        <v>258</v>
      </c>
      <c r="C22" t="s">
        <v>262</v>
      </c>
      <c r="D22" s="9"/>
      <c r="E22" s="69"/>
    </row>
    <row r="23" spans="2:10">
      <c r="B23" t="s">
        <v>140</v>
      </c>
      <c r="C23" s="69"/>
      <c r="D23" s="68">
        <f>H15*C15</f>
        <v>105000000</v>
      </c>
      <c r="E23" s="70"/>
    </row>
    <row r="24" spans="2:10">
      <c r="B24" t="s">
        <v>141</v>
      </c>
      <c r="C24" s="2">
        <v>500000</v>
      </c>
      <c r="D24" s="68">
        <f>D38</f>
        <v>8333333333.333334</v>
      </c>
      <c r="E24" s="69"/>
    </row>
    <row r="25" spans="2:10">
      <c r="B25" t="s">
        <v>142</v>
      </c>
    </row>
    <row r="26" spans="2:10">
      <c r="E26" s="69"/>
    </row>
    <row r="27" spans="2:10">
      <c r="C27" t="s">
        <v>143</v>
      </c>
      <c r="D27" s="68">
        <f>SUM(D14:D24)</f>
        <v>11889337333.333334</v>
      </c>
    </row>
    <row r="30" spans="2:10">
      <c r="J30" t="s">
        <v>259</v>
      </c>
    </row>
    <row r="31" spans="2:10">
      <c r="J31">
        <f>33961-26474</f>
        <v>7487</v>
      </c>
    </row>
    <row r="32" spans="2:10">
      <c r="B32" s="71"/>
      <c r="C32" s="1" t="s">
        <v>144</v>
      </c>
      <c r="D32" s="2">
        <v>115223</v>
      </c>
    </row>
    <row r="33" spans="2:5">
      <c r="B33" s="72"/>
      <c r="C33" t="s">
        <v>145</v>
      </c>
      <c r="D33" s="2">
        <v>300000000</v>
      </c>
    </row>
    <row r="34" spans="2:5">
      <c r="C34" t="s">
        <v>146</v>
      </c>
      <c r="D34">
        <f>D33/D32</f>
        <v>2603.6468413424404</v>
      </c>
      <c r="E34" t="s">
        <v>147</v>
      </c>
    </row>
    <row r="36" spans="2:5">
      <c r="C36" t="s">
        <v>148</v>
      </c>
      <c r="D36" s="69">
        <f>D37/3000</f>
        <v>16666.666666666668</v>
      </c>
    </row>
    <row r="37" spans="2:5">
      <c r="C37" t="s">
        <v>149</v>
      </c>
      <c r="D37" s="2">
        <v>50000000</v>
      </c>
    </row>
    <row r="38" spans="2:5">
      <c r="C38" t="s">
        <v>150</v>
      </c>
      <c r="D38" s="61">
        <f>D36*500000</f>
        <v>8333333333.333334</v>
      </c>
    </row>
    <row r="44" spans="2:5">
      <c r="B44" s="293" t="s">
        <v>260</v>
      </c>
      <c r="C44" s="294"/>
      <c r="D44" s="294"/>
      <c r="E44" s="295"/>
    </row>
    <row r="45" spans="2:5">
      <c r="B45" s="296"/>
      <c r="C45" s="297"/>
      <c r="D45" s="297"/>
      <c r="E45" s="298"/>
    </row>
    <row r="46" spans="2:5">
      <c r="B46" s="296"/>
      <c r="C46" s="297"/>
      <c r="D46" s="297"/>
      <c r="E46" s="298"/>
    </row>
    <row r="47" spans="2:5">
      <c r="B47" s="296"/>
      <c r="C47" s="297"/>
      <c r="D47" s="297"/>
      <c r="E47" s="298"/>
    </row>
    <row r="48" spans="2:5">
      <c r="B48" s="296"/>
      <c r="C48" s="297"/>
      <c r="D48" s="297"/>
      <c r="E48" s="298"/>
    </row>
    <row r="49" spans="2:5">
      <c r="B49" s="299"/>
      <c r="C49" s="300"/>
      <c r="D49" s="300"/>
      <c r="E49" s="301"/>
    </row>
  </sheetData>
  <mergeCells count="1">
    <mergeCell ref="B44:E49"/>
  </mergeCells>
  <hyperlinks>
    <hyperlink ref="B9" r:id="rId1"/>
    <hyperlink ref="C32" r:id="rId2"/>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4"/>
  <sheetViews>
    <sheetView topLeftCell="A13" workbookViewId="0">
      <selection activeCell="G47" sqref="G47"/>
    </sheetView>
  </sheetViews>
  <sheetFormatPr baseColWidth="10" defaultColWidth="8.83203125" defaultRowHeight="14" x14ac:dyDescent="0"/>
  <cols>
    <col min="2" max="2" width="57.1640625" bestFit="1" customWidth="1"/>
    <col min="3" max="3" width="18.6640625" bestFit="1" customWidth="1"/>
    <col min="4" max="4" width="17.5" bestFit="1" customWidth="1"/>
    <col min="5" max="5" width="20.83203125" bestFit="1" customWidth="1"/>
    <col min="6" max="8" width="20.83203125" customWidth="1"/>
    <col min="9" max="9" width="30.83203125" customWidth="1"/>
    <col min="10" max="10" width="24" customWidth="1"/>
    <col min="11" max="11" width="18.83203125" customWidth="1"/>
    <col min="12" max="13" width="12.83203125" bestFit="1" customWidth="1"/>
    <col min="15" max="15" width="14.5" bestFit="1" customWidth="1"/>
    <col min="17" max="17" width="16.5" bestFit="1" customWidth="1"/>
    <col min="18" max="18" width="20.33203125" customWidth="1"/>
    <col min="19" max="19" width="19" bestFit="1" customWidth="1"/>
    <col min="20" max="20" width="16.5" bestFit="1" customWidth="1"/>
    <col min="21" max="21" width="20.83203125" customWidth="1"/>
    <col min="22" max="22" width="8.6640625" customWidth="1"/>
    <col min="23" max="23" width="10.6640625" bestFit="1" customWidth="1"/>
    <col min="24" max="24" width="10" bestFit="1" customWidth="1"/>
    <col min="25" max="26" width="18.5" bestFit="1" customWidth="1"/>
    <col min="27" max="27" width="16.83203125" bestFit="1" customWidth="1"/>
    <col min="30" max="30" width="35.33203125" customWidth="1"/>
    <col min="32" max="32" width="10.1640625" bestFit="1" customWidth="1"/>
    <col min="40" max="40" width="12" bestFit="1" customWidth="1"/>
  </cols>
  <sheetData>
    <row r="1" spans="1:40">
      <c r="A1" s="271" t="s">
        <v>80</v>
      </c>
      <c r="B1" s="271"/>
      <c r="C1" s="271"/>
      <c r="D1" s="271"/>
    </row>
    <row r="2" spans="1:40">
      <c r="A2" s="271" t="s">
        <v>81</v>
      </c>
      <c r="B2" s="271"/>
      <c r="C2" s="271"/>
      <c r="D2" s="271"/>
    </row>
    <row r="3" spans="1:40" ht="22">
      <c r="A3" t="s">
        <v>61</v>
      </c>
      <c r="C3" t="s">
        <v>82</v>
      </c>
      <c r="X3" s="42" t="s">
        <v>83</v>
      </c>
      <c r="Y3" s="17"/>
      <c r="AM3" t="s">
        <v>84</v>
      </c>
    </row>
    <row r="4" spans="1:40" ht="23">
      <c r="A4" s="43" t="s">
        <v>85</v>
      </c>
      <c r="B4" s="44" t="s">
        <v>86</v>
      </c>
      <c r="C4" s="44" t="s">
        <v>87</v>
      </c>
      <c r="D4" s="44" t="s">
        <v>88</v>
      </c>
      <c r="E4" s="44" t="s">
        <v>89</v>
      </c>
      <c r="F4" s="44"/>
      <c r="G4" s="44"/>
      <c r="H4" s="44"/>
      <c r="I4" s="44" t="s">
        <v>90</v>
      </c>
      <c r="J4" s="44" t="s">
        <v>91</v>
      </c>
      <c r="K4" s="44" t="s">
        <v>92</v>
      </c>
      <c r="L4" s="44" t="s">
        <v>93</v>
      </c>
      <c r="M4" s="44" t="s">
        <v>94</v>
      </c>
      <c r="N4" s="44" t="s">
        <v>95</v>
      </c>
      <c r="O4" s="44" t="s">
        <v>96</v>
      </c>
      <c r="P4" s="44" t="s">
        <v>97</v>
      </c>
      <c r="Q4" s="44" t="s">
        <v>98</v>
      </c>
      <c r="R4" s="44" t="s">
        <v>99</v>
      </c>
      <c r="S4" s="44" t="s">
        <v>100</v>
      </c>
      <c r="T4" s="44" t="s">
        <v>101</v>
      </c>
      <c r="U4" s="44" t="s">
        <v>102</v>
      </c>
      <c r="V4" s="44" t="s">
        <v>103</v>
      </c>
      <c r="W4" s="45" t="s">
        <v>104</v>
      </c>
      <c r="X4" s="17"/>
      <c r="Z4" s="312" t="s">
        <v>105</v>
      </c>
      <c r="AA4" s="314" t="s">
        <v>106</v>
      </c>
      <c r="AB4" s="310" t="s">
        <v>107</v>
      </c>
      <c r="AC4" s="316"/>
      <c r="AD4" s="311"/>
      <c r="AE4" s="310" t="s">
        <v>108</v>
      </c>
      <c r="AF4" s="311"/>
      <c r="AG4" s="310" t="s">
        <v>109</v>
      </c>
      <c r="AH4" s="311"/>
      <c r="AI4" s="310" t="s">
        <v>110</v>
      </c>
      <c r="AJ4" s="311"/>
      <c r="AK4" s="310" t="s">
        <v>111</v>
      </c>
      <c r="AL4" s="311"/>
      <c r="AM4" s="310" t="s">
        <v>104</v>
      </c>
      <c r="AN4" s="311"/>
    </row>
    <row r="5" spans="1:40">
      <c r="A5" s="302">
        <v>2000</v>
      </c>
      <c r="B5" s="303"/>
      <c r="C5" s="46">
        <v>62382</v>
      </c>
      <c r="D5" s="46"/>
      <c r="E5" s="47">
        <v>69909</v>
      </c>
      <c r="F5" s="47"/>
      <c r="G5" s="47"/>
      <c r="H5" s="47"/>
      <c r="I5" s="46">
        <v>129429</v>
      </c>
      <c r="J5" s="46"/>
      <c r="K5" s="47">
        <v>2966</v>
      </c>
      <c r="L5" s="47">
        <v>1436</v>
      </c>
      <c r="M5" s="47">
        <v>125319</v>
      </c>
      <c r="N5" s="47">
        <v>229046</v>
      </c>
      <c r="O5" s="48">
        <v>736</v>
      </c>
      <c r="P5" s="47">
        <v>18231</v>
      </c>
      <c r="Q5" s="46">
        <v>84688</v>
      </c>
      <c r="R5" s="46"/>
      <c r="S5" s="47">
        <v>10289</v>
      </c>
      <c r="T5" s="47">
        <v>3795</v>
      </c>
      <c r="U5" s="47">
        <v>4330</v>
      </c>
      <c r="V5" s="48"/>
      <c r="W5" s="47">
        <v>742556</v>
      </c>
      <c r="Z5" s="313"/>
      <c r="AA5" s="315"/>
      <c r="AB5" s="44" t="s">
        <v>112</v>
      </c>
      <c r="AC5" s="44"/>
      <c r="AD5" s="44" t="s">
        <v>113</v>
      </c>
      <c r="AE5" s="44" t="s">
        <v>112</v>
      </c>
      <c r="AF5" s="44" t="s">
        <v>113</v>
      </c>
      <c r="AG5" s="44" t="s">
        <v>112</v>
      </c>
      <c r="AH5" s="44" t="s">
        <v>113</v>
      </c>
      <c r="AI5" s="44" t="s">
        <v>112</v>
      </c>
      <c r="AJ5" s="44" t="s">
        <v>113</v>
      </c>
      <c r="AK5" s="44" t="s">
        <v>112</v>
      </c>
      <c r="AL5" s="44" t="s">
        <v>113</v>
      </c>
      <c r="AM5" s="44" t="s">
        <v>112</v>
      </c>
      <c r="AN5" s="44" t="s">
        <v>113</v>
      </c>
    </row>
    <row r="6" spans="1:40">
      <c r="A6" s="304"/>
      <c r="B6" s="305"/>
      <c r="C6" s="49">
        <v>-8.4</v>
      </c>
      <c r="D6" s="49"/>
      <c r="E6" s="48">
        <v>-9.41</v>
      </c>
      <c r="F6" s="48"/>
      <c r="G6" s="48"/>
      <c r="H6" s="48"/>
      <c r="I6" s="49">
        <v>-17.43</v>
      </c>
      <c r="J6" s="49"/>
      <c r="K6" s="48">
        <v>-0.4</v>
      </c>
      <c r="L6" s="48">
        <v>-0.19</v>
      </c>
      <c r="M6" s="48">
        <v>-16.88</v>
      </c>
      <c r="N6" s="48">
        <v>-30.85</v>
      </c>
      <c r="O6" s="48">
        <v>-0.1</v>
      </c>
      <c r="P6" s="48">
        <v>-2.46</v>
      </c>
      <c r="Q6" s="49">
        <v>-11.4</v>
      </c>
      <c r="R6" s="49"/>
      <c r="S6" s="48">
        <v>-1.39</v>
      </c>
      <c r="T6" s="48">
        <v>-0.51</v>
      </c>
      <c r="U6" s="48">
        <v>-0.57999999999999996</v>
      </c>
      <c r="V6" s="48"/>
      <c r="W6" s="48">
        <v>-100</v>
      </c>
      <c r="Z6" s="308">
        <v>2000</v>
      </c>
      <c r="AA6" s="309"/>
      <c r="AB6" s="47">
        <v>582931</v>
      </c>
      <c r="AC6" s="47"/>
      <c r="AD6" s="47">
        <v>15619462</v>
      </c>
      <c r="AE6" s="47">
        <v>311012</v>
      </c>
      <c r="AF6" s="47">
        <v>8554392</v>
      </c>
      <c r="AG6" s="48"/>
      <c r="AH6" s="48"/>
      <c r="AI6" s="48"/>
      <c r="AJ6" s="48"/>
      <c r="AK6" s="48"/>
      <c r="AL6" s="48"/>
      <c r="AM6" s="47">
        <v>893943</v>
      </c>
      <c r="AN6" s="47">
        <v>24173854</v>
      </c>
    </row>
    <row r="7" spans="1:40">
      <c r="A7" s="302">
        <v>2001</v>
      </c>
      <c r="B7" s="303"/>
      <c r="C7" s="46">
        <v>62707</v>
      </c>
      <c r="D7" s="46"/>
      <c r="E7" s="47">
        <v>61707</v>
      </c>
      <c r="F7" s="47"/>
      <c r="G7" s="47"/>
      <c r="H7" s="47"/>
      <c r="I7" s="46">
        <v>132168</v>
      </c>
      <c r="J7" s="46"/>
      <c r="K7" s="47">
        <v>2714</v>
      </c>
      <c r="L7" s="47">
        <v>1510</v>
      </c>
      <c r="M7" s="47">
        <v>123848</v>
      </c>
      <c r="N7" s="47">
        <v>233293</v>
      </c>
      <c r="O7" s="48">
        <v>794</v>
      </c>
      <c r="P7" s="47">
        <v>20073</v>
      </c>
      <c r="Q7" s="46">
        <v>84377</v>
      </c>
      <c r="R7" s="46"/>
      <c r="S7" s="47">
        <v>11033</v>
      </c>
      <c r="T7" s="47">
        <v>3570</v>
      </c>
      <c r="U7" s="47">
        <v>4958</v>
      </c>
      <c r="V7" s="48">
        <v>916</v>
      </c>
      <c r="W7" s="47">
        <v>743668</v>
      </c>
      <c r="Z7" s="308">
        <v>2001</v>
      </c>
      <c r="AA7" s="309"/>
      <c r="AB7" s="47">
        <v>538385</v>
      </c>
      <c r="AC7" s="47"/>
      <c r="AD7" s="47">
        <v>12611482</v>
      </c>
      <c r="AE7" s="47">
        <v>320642</v>
      </c>
      <c r="AF7" s="47">
        <v>7640010</v>
      </c>
      <c r="AG7" s="48"/>
      <c r="AH7" s="48"/>
      <c r="AI7" s="48">
        <v>340</v>
      </c>
      <c r="AJ7" s="47">
        <v>8672</v>
      </c>
      <c r="AK7" s="48"/>
      <c r="AL7" s="48"/>
      <c r="AM7" s="47">
        <v>859367</v>
      </c>
      <c r="AN7" s="47">
        <v>20260164</v>
      </c>
    </row>
    <row r="8" spans="1:40">
      <c r="A8" s="304"/>
      <c r="B8" s="305"/>
      <c r="C8" s="49">
        <v>-8.43</v>
      </c>
      <c r="D8" s="49"/>
      <c r="E8" s="48">
        <v>-8.3000000000000007</v>
      </c>
      <c r="F8" s="48"/>
      <c r="G8" s="48"/>
      <c r="H8" s="48"/>
      <c r="I8" s="49">
        <v>-17.77</v>
      </c>
      <c r="J8" s="49"/>
      <c r="K8" s="48">
        <v>-0.36</v>
      </c>
      <c r="L8" s="48">
        <v>-0.2</v>
      </c>
      <c r="M8" s="48">
        <v>-16.649999999999999</v>
      </c>
      <c r="N8" s="48">
        <v>-31.37</v>
      </c>
      <c r="O8" s="48">
        <v>-0.11</v>
      </c>
      <c r="P8" s="48">
        <v>-2.7</v>
      </c>
      <c r="Q8" s="49">
        <v>-11.35</v>
      </c>
      <c r="R8" s="49"/>
      <c r="S8" s="48">
        <v>-1.48</v>
      </c>
      <c r="T8" s="48">
        <v>-0.48</v>
      </c>
      <c r="U8" s="48">
        <v>-0.67</v>
      </c>
      <c r="V8" s="48">
        <v>-0.12</v>
      </c>
      <c r="W8" s="48">
        <v>-100</v>
      </c>
      <c r="Z8" s="308">
        <v>2002</v>
      </c>
      <c r="AA8" s="309"/>
      <c r="AB8" s="47">
        <v>478646</v>
      </c>
      <c r="AC8" s="47"/>
      <c r="AD8" s="47">
        <v>11119771</v>
      </c>
      <c r="AE8" s="47">
        <v>312346</v>
      </c>
      <c r="AF8" s="47">
        <v>7345525</v>
      </c>
      <c r="AG8" s="48"/>
      <c r="AH8" s="48"/>
      <c r="AI8" s="48"/>
      <c r="AJ8" s="48"/>
      <c r="AK8" s="48"/>
      <c r="AL8" s="48"/>
      <c r="AM8" s="47">
        <v>790992</v>
      </c>
      <c r="AN8" s="47">
        <v>18465296</v>
      </c>
    </row>
    <row r="9" spans="1:40">
      <c r="A9" s="302">
        <v>2002</v>
      </c>
      <c r="B9" s="303"/>
      <c r="C9" s="46">
        <v>64078</v>
      </c>
      <c r="D9" s="46"/>
      <c r="E9" s="47">
        <v>58464</v>
      </c>
      <c r="F9" s="47"/>
      <c r="G9" s="47"/>
      <c r="H9" s="47"/>
      <c r="I9" s="46">
        <v>138045</v>
      </c>
      <c r="J9" s="46"/>
      <c r="K9" s="47">
        <v>2956</v>
      </c>
      <c r="L9" s="47">
        <v>1636</v>
      </c>
      <c r="M9" s="47">
        <v>116907</v>
      </c>
      <c r="N9" s="47">
        <v>245309</v>
      </c>
      <c r="O9" s="47">
        <v>1271</v>
      </c>
      <c r="P9" s="47">
        <v>20057</v>
      </c>
      <c r="Q9" s="46">
        <v>91415</v>
      </c>
      <c r="R9" s="46"/>
      <c r="S9" s="47">
        <v>10350</v>
      </c>
      <c r="T9" s="47">
        <v>3827</v>
      </c>
      <c r="U9" s="47">
        <v>5992</v>
      </c>
      <c r="V9" s="47">
        <v>2560</v>
      </c>
      <c r="W9" s="47">
        <v>762867</v>
      </c>
      <c r="Z9" s="308">
        <v>2003</v>
      </c>
      <c r="AA9" s="309"/>
      <c r="AB9" s="47">
        <v>550893</v>
      </c>
      <c r="AC9" s="47"/>
      <c r="AD9" s="47">
        <v>15034679</v>
      </c>
      <c r="AE9" s="47">
        <v>251573</v>
      </c>
      <c r="AF9" s="47">
        <v>7014258</v>
      </c>
      <c r="AG9" s="48">
        <v>996</v>
      </c>
      <c r="AH9" s="47">
        <v>28055</v>
      </c>
      <c r="AI9" s="47">
        <v>1348</v>
      </c>
      <c r="AJ9" s="47">
        <v>37167</v>
      </c>
      <c r="AK9" s="48"/>
      <c r="AL9" s="48"/>
      <c r="AM9" s="47">
        <v>804810</v>
      </c>
      <c r="AN9" s="47">
        <v>22114159</v>
      </c>
    </row>
    <row r="10" spans="1:40">
      <c r="A10" s="304"/>
      <c r="B10" s="305"/>
      <c r="C10" s="49">
        <v>-8.4</v>
      </c>
      <c r="D10" s="49"/>
      <c r="E10" s="48">
        <v>-7.66</v>
      </c>
      <c r="F10" s="48"/>
      <c r="G10" s="48"/>
      <c r="H10" s="48"/>
      <c r="I10" s="49">
        <v>-18.100000000000001</v>
      </c>
      <c r="J10" s="49"/>
      <c r="K10" s="48">
        <v>-0.39</v>
      </c>
      <c r="L10" s="48">
        <v>-0.21</v>
      </c>
      <c r="M10" s="48">
        <v>-15.32</v>
      </c>
      <c r="N10" s="48">
        <v>-32.159999999999997</v>
      </c>
      <c r="O10" s="48">
        <v>-0.17</v>
      </c>
      <c r="P10" s="48">
        <v>-2.63</v>
      </c>
      <c r="Q10" s="49">
        <v>-11.98</v>
      </c>
      <c r="R10" s="49"/>
      <c r="S10" s="48">
        <v>-1.36</v>
      </c>
      <c r="T10" s="48">
        <v>-0.5</v>
      </c>
      <c r="U10" s="48">
        <v>-0.79</v>
      </c>
      <c r="V10" s="48">
        <v>-0.34</v>
      </c>
      <c r="W10" s="48">
        <v>-100</v>
      </c>
      <c r="Z10" s="308">
        <v>2004</v>
      </c>
      <c r="AA10" s="309"/>
      <c r="AB10" s="47">
        <v>571537</v>
      </c>
      <c r="AC10" s="47"/>
      <c r="AD10" s="47">
        <v>19417010</v>
      </c>
      <c r="AE10" s="47">
        <v>253588</v>
      </c>
      <c r="AF10" s="47">
        <v>9040133</v>
      </c>
      <c r="AG10" s="48"/>
      <c r="AH10" s="48"/>
      <c r="AI10" s="48">
        <v>665</v>
      </c>
      <c r="AJ10" s="47">
        <v>26431</v>
      </c>
      <c r="AK10" s="48"/>
      <c r="AL10" s="48"/>
      <c r="AM10" s="47">
        <v>825790</v>
      </c>
      <c r="AN10" s="47">
        <v>28483574</v>
      </c>
    </row>
    <row r="11" spans="1:40">
      <c r="A11" s="302">
        <v>2003</v>
      </c>
      <c r="B11" s="303"/>
      <c r="C11" s="46">
        <v>60484</v>
      </c>
      <c r="D11" s="46"/>
      <c r="E11" s="47">
        <v>52874</v>
      </c>
      <c r="F11" s="47"/>
      <c r="G11" s="47"/>
      <c r="H11" s="47"/>
      <c r="I11" s="46">
        <v>145366</v>
      </c>
      <c r="J11" s="46"/>
      <c r="K11" s="47">
        <v>2692</v>
      </c>
      <c r="L11" s="47">
        <v>1768</v>
      </c>
      <c r="M11" s="47">
        <v>111361</v>
      </c>
      <c r="N11" s="47">
        <v>252417</v>
      </c>
      <c r="O11" s="47">
        <v>2703</v>
      </c>
      <c r="P11" s="47">
        <v>20578</v>
      </c>
      <c r="Q11" s="46">
        <v>88606</v>
      </c>
      <c r="R11" s="46"/>
      <c r="S11" s="47">
        <v>10550</v>
      </c>
      <c r="T11" s="47">
        <v>4079</v>
      </c>
      <c r="U11" s="47">
        <v>6651</v>
      </c>
      <c r="V11" s="47">
        <v>2811</v>
      </c>
      <c r="W11" s="47">
        <v>762940</v>
      </c>
      <c r="Z11" s="308">
        <v>2005</v>
      </c>
      <c r="AA11" s="309"/>
      <c r="AB11" s="47">
        <v>563900</v>
      </c>
      <c r="AC11" s="47"/>
      <c r="AD11" s="47">
        <v>27486618</v>
      </c>
      <c r="AE11" s="47">
        <v>278115</v>
      </c>
      <c r="AF11" s="47">
        <v>13712577</v>
      </c>
      <c r="AG11" s="48"/>
      <c r="AH11" s="48"/>
      <c r="AI11" s="47">
        <v>1188</v>
      </c>
      <c r="AJ11" s="47">
        <v>66594</v>
      </c>
      <c r="AK11" s="48"/>
      <c r="AL11" s="48"/>
      <c r="AM11" s="47">
        <v>843203</v>
      </c>
      <c r="AN11" s="47">
        <v>41265789</v>
      </c>
    </row>
    <row r="12" spans="1:40">
      <c r="A12" s="304"/>
      <c r="B12" s="305"/>
      <c r="C12" s="49">
        <v>-7.93</v>
      </c>
      <c r="D12" s="49"/>
      <c r="E12" s="48">
        <v>-6.93</v>
      </c>
      <c r="F12" s="48"/>
      <c r="G12" s="48"/>
      <c r="H12" s="48"/>
      <c r="I12" s="49">
        <v>-19.05</v>
      </c>
      <c r="J12" s="49"/>
      <c r="K12" s="48">
        <v>-0.35</v>
      </c>
      <c r="L12" s="48">
        <v>-0.23</v>
      </c>
      <c r="M12" s="48">
        <v>-14.6</v>
      </c>
      <c r="N12" s="48">
        <v>-33.08</v>
      </c>
      <c r="O12" s="48">
        <v>-0.35</v>
      </c>
      <c r="P12" s="48">
        <v>-2.7</v>
      </c>
      <c r="Q12" s="49">
        <v>-11.61</v>
      </c>
      <c r="R12" s="49"/>
      <c r="S12" s="48">
        <v>-1.38</v>
      </c>
      <c r="T12" s="48">
        <v>-0.53</v>
      </c>
      <c r="U12" s="48">
        <v>-0.87</v>
      </c>
      <c r="V12" s="48">
        <v>-0.37</v>
      </c>
      <c r="W12" s="48">
        <v>-100</v>
      </c>
      <c r="Z12" s="308">
        <v>2006</v>
      </c>
      <c r="AA12" s="309"/>
      <c r="AB12" s="47">
        <v>585709</v>
      </c>
      <c r="AC12" s="47"/>
      <c r="AD12" s="47">
        <v>35643357</v>
      </c>
      <c r="AE12" s="47">
        <v>303086</v>
      </c>
      <c r="AF12" s="47">
        <v>18645856</v>
      </c>
      <c r="AG12" s="48"/>
      <c r="AH12" s="48"/>
      <c r="AI12" s="48"/>
      <c r="AJ12" s="48"/>
      <c r="AK12" s="48"/>
      <c r="AL12" s="48"/>
      <c r="AM12" s="47">
        <v>888795</v>
      </c>
      <c r="AN12" s="47">
        <v>54289213</v>
      </c>
    </row>
    <row r="13" spans="1:40">
      <c r="A13" s="302">
        <v>2004</v>
      </c>
      <c r="B13" s="303"/>
      <c r="C13" s="46">
        <v>58151</v>
      </c>
      <c r="D13" s="46"/>
      <c r="E13" s="47">
        <v>43090</v>
      </c>
      <c r="F13" s="47"/>
      <c r="G13" s="47"/>
      <c r="H13" s="47"/>
      <c r="I13" s="46">
        <v>143799</v>
      </c>
      <c r="J13" s="46"/>
      <c r="K13" s="47">
        <v>2303</v>
      </c>
      <c r="L13" s="47">
        <v>1706</v>
      </c>
      <c r="M13" s="47">
        <v>100968</v>
      </c>
      <c r="N13" s="47">
        <v>262871</v>
      </c>
      <c r="O13" s="47">
        <v>3894</v>
      </c>
      <c r="P13" s="47">
        <v>21225</v>
      </c>
      <c r="Q13" s="46">
        <v>88432</v>
      </c>
      <c r="R13" s="46"/>
      <c r="S13" s="47">
        <v>11668</v>
      </c>
      <c r="T13" s="47">
        <v>4333</v>
      </c>
      <c r="U13" s="47">
        <v>6862</v>
      </c>
      <c r="V13" s="47">
        <v>3027</v>
      </c>
      <c r="W13" s="47">
        <v>752329</v>
      </c>
      <c r="Z13" s="308">
        <v>2007</v>
      </c>
      <c r="AA13" s="309"/>
      <c r="AB13" s="47">
        <v>543353</v>
      </c>
      <c r="AC13" s="47"/>
      <c r="AD13" s="47">
        <v>36414701</v>
      </c>
      <c r="AE13" s="47">
        <v>329187</v>
      </c>
      <c r="AF13" s="47">
        <v>22792229</v>
      </c>
      <c r="AG13" s="48"/>
      <c r="AH13" s="48"/>
      <c r="AI13" s="48"/>
      <c r="AJ13" s="48"/>
      <c r="AK13" s="48"/>
      <c r="AL13" s="48"/>
      <c r="AM13" s="47">
        <v>872540</v>
      </c>
      <c r="AN13" s="47">
        <v>59206930</v>
      </c>
    </row>
    <row r="14" spans="1:40">
      <c r="A14" s="304"/>
      <c r="B14" s="305"/>
      <c r="C14" s="49">
        <v>-7.73</v>
      </c>
      <c r="D14" s="49"/>
      <c r="E14" s="48">
        <v>-5.73</v>
      </c>
      <c r="F14" s="48"/>
      <c r="G14" s="48"/>
      <c r="H14" s="48"/>
      <c r="I14" s="49">
        <v>-19.11</v>
      </c>
      <c r="J14" s="49"/>
      <c r="K14" s="48">
        <v>-0.31</v>
      </c>
      <c r="L14" s="48">
        <v>-0.23</v>
      </c>
      <c r="M14" s="48">
        <v>-13.42</v>
      </c>
      <c r="N14" s="48">
        <v>-34.94</v>
      </c>
      <c r="O14" s="48">
        <v>-0.52</v>
      </c>
      <c r="P14" s="48">
        <v>-2.82</v>
      </c>
      <c r="Q14" s="49">
        <v>-11.75</v>
      </c>
      <c r="R14" s="49"/>
      <c r="S14" s="48">
        <v>-1.55</v>
      </c>
      <c r="T14" s="48">
        <v>-0.57999999999999996</v>
      </c>
      <c r="U14" s="48">
        <v>-0.91</v>
      </c>
      <c r="V14" s="48">
        <v>-0.4</v>
      </c>
      <c r="W14" s="48">
        <v>-100</v>
      </c>
      <c r="Z14" s="308">
        <v>2008</v>
      </c>
      <c r="AA14" s="309"/>
      <c r="AB14" s="47">
        <v>586860</v>
      </c>
      <c r="AC14" s="47"/>
      <c r="AD14" s="47">
        <v>55977846</v>
      </c>
      <c r="AE14" s="47">
        <v>278012</v>
      </c>
      <c r="AF14" s="47">
        <v>26892269</v>
      </c>
      <c r="AG14" s="48"/>
      <c r="AH14" s="48"/>
      <c r="AI14" s="48"/>
      <c r="AJ14" s="48"/>
      <c r="AK14" s="48"/>
      <c r="AL14" s="48"/>
      <c r="AM14" s="47">
        <v>864872</v>
      </c>
      <c r="AN14" s="47">
        <v>82870115</v>
      </c>
    </row>
    <row r="15" spans="1:40">
      <c r="A15" s="302">
        <v>2005</v>
      </c>
      <c r="B15" s="303"/>
      <c r="C15" s="46">
        <v>59561</v>
      </c>
      <c r="D15" s="46"/>
      <c r="E15" s="47">
        <v>39392</v>
      </c>
      <c r="F15" s="47"/>
      <c r="G15" s="47"/>
      <c r="H15" s="47"/>
      <c r="I15" s="46">
        <v>142529</v>
      </c>
      <c r="J15" s="46"/>
      <c r="K15" s="47">
        <v>2361</v>
      </c>
      <c r="L15" s="47">
        <v>1793</v>
      </c>
      <c r="M15" s="47">
        <v>96359</v>
      </c>
      <c r="N15" s="47">
        <v>273250</v>
      </c>
      <c r="O15" s="47">
        <v>4380</v>
      </c>
      <c r="P15" s="47">
        <v>25058</v>
      </c>
      <c r="Q15" s="46">
        <v>91668</v>
      </c>
      <c r="R15" s="46"/>
      <c r="S15" s="47">
        <v>10486</v>
      </c>
      <c r="T15" s="47">
        <v>4966</v>
      </c>
      <c r="U15" s="47">
        <v>6315</v>
      </c>
      <c r="V15" s="47">
        <v>2962</v>
      </c>
      <c r="W15" s="47">
        <v>761080</v>
      </c>
      <c r="Z15" s="308">
        <v>2009</v>
      </c>
      <c r="AA15" s="309"/>
      <c r="AB15" s="47">
        <v>579691</v>
      </c>
      <c r="AC15" s="47"/>
      <c r="AD15" s="47">
        <v>34266901</v>
      </c>
      <c r="AE15" s="47">
        <v>255394</v>
      </c>
      <c r="AF15" s="47">
        <v>15250105</v>
      </c>
      <c r="AG15" s="48"/>
      <c r="AH15" s="48"/>
      <c r="AI15" s="48"/>
      <c r="AJ15" s="48"/>
      <c r="AK15" s="48"/>
      <c r="AL15" s="48"/>
      <c r="AM15" s="47">
        <v>835085</v>
      </c>
      <c r="AN15" s="47">
        <v>49517006</v>
      </c>
    </row>
    <row r="16" spans="1:40">
      <c r="A16" s="304"/>
      <c r="B16" s="305"/>
      <c r="C16" s="49">
        <v>-7.83</v>
      </c>
      <c r="D16" s="49"/>
      <c r="E16" s="48">
        <v>-5.18</v>
      </c>
      <c r="F16" s="48"/>
      <c r="G16" s="48"/>
      <c r="H16" s="48"/>
      <c r="I16" s="49">
        <v>-18.73</v>
      </c>
      <c r="J16" s="49"/>
      <c r="K16" s="48">
        <v>-0.31</v>
      </c>
      <c r="L16" s="48">
        <v>-0.24</v>
      </c>
      <c r="M16" s="48">
        <v>-12.66</v>
      </c>
      <c r="N16" s="48">
        <v>-35.9</v>
      </c>
      <c r="O16" s="48">
        <v>-0.57999999999999996</v>
      </c>
      <c r="P16" s="48">
        <v>-3.29</v>
      </c>
      <c r="Q16" s="49">
        <v>-12.04</v>
      </c>
      <c r="R16" s="49"/>
      <c r="S16" s="48">
        <v>-1.38</v>
      </c>
      <c r="T16" s="48">
        <v>-0.65</v>
      </c>
      <c r="U16" s="48">
        <v>-0.83</v>
      </c>
      <c r="V16" s="48">
        <v>-0.39</v>
      </c>
      <c r="W16" s="48">
        <v>-100</v>
      </c>
    </row>
    <row r="17" spans="1:40">
      <c r="A17" s="302">
        <v>2006</v>
      </c>
      <c r="B17" s="303"/>
      <c r="C17" s="46">
        <v>59874</v>
      </c>
      <c r="D17" s="46"/>
      <c r="E17" s="47">
        <v>31450</v>
      </c>
      <c r="F17" s="47"/>
      <c r="G17" s="47"/>
      <c r="H17" s="47"/>
      <c r="I17" s="46">
        <v>142433</v>
      </c>
      <c r="J17" s="46"/>
      <c r="K17" s="47">
        <v>2358</v>
      </c>
      <c r="L17" s="47">
        <v>1622</v>
      </c>
      <c r="M17" s="47">
        <v>92912</v>
      </c>
      <c r="N17" s="47">
        <v>287003</v>
      </c>
      <c r="O17" s="47">
        <v>4753</v>
      </c>
      <c r="P17" s="47">
        <v>25231</v>
      </c>
      <c r="Q17" s="46">
        <v>93451</v>
      </c>
      <c r="R17" s="46"/>
      <c r="S17" s="47">
        <v>10813</v>
      </c>
      <c r="T17" s="47">
        <v>3681</v>
      </c>
      <c r="U17" s="47">
        <v>7220</v>
      </c>
      <c r="V17" s="47">
        <v>2719</v>
      </c>
      <c r="W17" s="47">
        <v>765520</v>
      </c>
      <c r="AM17" t="s">
        <v>114</v>
      </c>
    </row>
    <row r="18" spans="1:40">
      <c r="A18" s="304"/>
      <c r="B18" s="305"/>
      <c r="C18" s="49">
        <v>-7.82</v>
      </c>
      <c r="D18" s="49"/>
      <c r="E18" s="48">
        <v>-4.1100000000000003</v>
      </c>
      <c r="F18" s="48"/>
      <c r="G18" s="48"/>
      <c r="H18" s="48"/>
      <c r="I18" s="49">
        <v>-18.61</v>
      </c>
      <c r="J18" s="49"/>
      <c r="K18" s="48">
        <v>-0.31</v>
      </c>
      <c r="L18" s="48">
        <v>-0.21</v>
      </c>
      <c r="M18" s="48">
        <v>-12.14</v>
      </c>
      <c r="N18" s="48">
        <v>-37.49</v>
      </c>
      <c r="O18" s="48">
        <v>-0.62</v>
      </c>
      <c r="P18" s="48">
        <v>-3.3</v>
      </c>
      <c r="Q18" s="49">
        <v>-12.21</v>
      </c>
      <c r="R18" s="49"/>
      <c r="S18" s="48">
        <v>-1.41</v>
      </c>
      <c r="T18" s="48">
        <v>-0.48</v>
      </c>
      <c r="U18" s="48">
        <v>-0.94</v>
      </c>
      <c r="V18" s="48">
        <v>-0.36</v>
      </c>
      <c r="W18" s="48">
        <v>-100</v>
      </c>
      <c r="AM18" s="50">
        <v>2008</v>
      </c>
      <c r="AN18">
        <f>AN14*1000</f>
        <v>82870115000</v>
      </c>
    </row>
    <row r="19" spans="1:40">
      <c r="A19" s="302">
        <v>2007</v>
      </c>
      <c r="B19" s="303"/>
      <c r="C19" s="46">
        <v>62500</v>
      </c>
      <c r="D19" s="46"/>
      <c r="E19" s="47">
        <v>26172</v>
      </c>
      <c r="F19" s="47"/>
      <c r="G19" s="47"/>
      <c r="H19" s="47"/>
      <c r="I19" s="46">
        <v>145327</v>
      </c>
      <c r="J19" s="46"/>
      <c r="K19" s="47">
        <v>2218</v>
      </c>
      <c r="L19" s="47">
        <v>1563</v>
      </c>
      <c r="M19" s="47">
        <v>89028</v>
      </c>
      <c r="N19" s="47">
        <v>316858</v>
      </c>
      <c r="O19" s="47">
        <v>3879</v>
      </c>
      <c r="P19" s="47">
        <v>26147</v>
      </c>
      <c r="Q19" s="46">
        <v>97143</v>
      </c>
      <c r="R19" s="46"/>
      <c r="S19" s="47">
        <v>10889</v>
      </c>
      <c r="T19" s="47">
        <v>3693</v>
      </c>
      <c r="U19" s="47">
        <v>6826</v>
      </c>
      <c r="V19" s="47">
        <v>2702</v>
      </c>
      <c r="W19" s="47">
        <v>794945</v>
      </c>
      <c r="AM19" s="50">
        <v>2009</v>
      </c>
      <c r="AN19">
        <f>AN15*1000</f>
        <v>49517006000</v>
      </c>
    </row>
    <row r="20" spans="1:40">
      <c r="A20" s="304"/>
      <c r="B20" s="305"/>
      <c r="C20" s="49">
        <v>-7.86</v>
      </c>
      <c r="D20" s="49"/>
      <c r="E20" s="48">
        <v>-3.29</v>
      </c>
      <c r="F20" s="48"/>
      <c r="G20" s="48"/>
      <c r="H20" s="48"/>
      <c r="I20" s="49">
        <v>-18.28</v>
      </c>
      <c r="J20" s="49"/>
      <c r="K20" s="48">
        <v>-0.28000000000000003</v>
      </c>
      <c r="L20" s="48">
        <v>-0.2</v>
      </c>
      <c r="M20" s="48">
        <v>-11.2</v>
      </c>
      <c r="N20" s="48">
        <v>-39.86</v>
      </c>
      <c r="O20" s="48">
        <v>-0.49</v>
      </c>
      <c r="P20" s="48">
        <v>-3.29</v>
      </c>
      <c r="Q20" s="49">
        <v>-12.22</v>
      </c>
      <c r="R20" s="49"/>
      <c r="S20" s="48">
        <v>-1.37</v>
      </c>
      <c r="T20" s="48">
        <v>-0.46</v>
      </c>
      <c r="U20" s="48">
        <v>-0.86</v>
      </c>
      <c r="V20" s="48">
        <v>-0.34</v>
      </c>
      <c r="W20" s="48">
        <v>-100</v>
      </c>
    </row>
    <row r="21" spans="1:40">
      <c r="A21" s="302">
        <v>2008</v>
      </c>
      <c r="B21" s="303"/>
      <c r="C21" s="46">
        <v>62937</v>
      </c>
      <c r="D21" s="46">
        <v>60896</v>
      </c>
      <c r="E21" s="47">
        <v>27659</v>
      </c>
      <c r="F21" s="47"/>
      <c r="G21" s="47"/>
      <c r="H21" s="47"/>
      <c r="I21" s="46">
        <v>134513</v>
      </c>
      <c r="J21" s="46">
        <v>106860</v>
      </c>
      <c r="K21" s="47">
        <v>1974</v>
      </c>
      <c r="L21" s="47">
        <v>1346</v>
      </c>
      <c r="M21" s="47">
        <v>66676</v>
      </c>
      <c r="N21" s="47">
        <v>311368</v>
      </c>
      <c r="O21" s="47">
        <v>3330</v>
      </c>
      <c r="P21" s="47">
        <v>25047</v>
      </c>
      <c r="Q21" s="46">
        <v>101881</v>
      </c>
      <c r="R21" s="46">
        <v>47638</v>
      </c>
      <c r="S21" s="47">
        <v>9927</v>
      </c>
      <c r="T21" s="47">
        <v>4504</v>
      </c>
      <c r="U21" s="47">
        <v>7235</v>
      </c>
      <c r="V21" s="47">
        <v>2243</v>
      </c>
      <c r="W21" s="47">
        <v>760640</v>
      </c>
      <c r="X21">
        <f>W21*1000</f>
        <v>760640000</v>
      </c>
    </row>
    <row r="22" spans="1:40">
      <c r="A22" s="304"/>
      <c r="B22" s="305"/>
      <c r="C22" s="49">
        <v>-8.27</v>
      </c>
      <c r="D22" s="49">
        <f>D21/C21</f>
        <v>0.96757074534852316</v>
      </c>
      <c r="E22" s="48">
        <v>-3.64</v>
      </c>
      <c r="F22" s="48"/>
      <c r="G22" s="48"/>
      <c r="H22" s="48"/>
      <c r="I22" s="49">
        <v>-17.68</v>
      </c>
      <c r="J22" s="49">
        <f>J21/I21</f>
        <v>0.7944213570435571</v>
      </c>
      <c r="K22" s="48">
        <v>-0.26</v>
      </c>
      <c r="L22" s="48">
        <v>-0.18</v>
      </c>
      <c r="M22" s="48">
        <v>-8.77</v>
      </c>
      <c r="N22" s="48">
        <v>-40.94</v>
      </c>
      <c r="O22" s="48">
        <v>-0.44</v>
      </c>
      <c r="P22" s="48">
        <v>-3.29</v>
      </c>
      <c r="Q22" s="49">
        <v>-13.39</v>
      </c>
      <c r="R22" s="49">
        <f>R21/Q21</f>
        <v>0.46758473120601485</v>
      </c>
      <c r="S22" s="48">
        <v>-1.31</v>
      </c>
      <c r="T22" s="48">
        <v>-0.59</v>
      </c>
      <c r="U22" s="48">
        <v>-0.95</v>
      </c>
      <c r="V22" s="48">
        <v>-0.28999999999999998</v>
      </c>
      <c r="W22" s="48">
        <v>-100</v>
      </c>
    </row>
    <row r="23" spans="1:40">
      <c r="A23" s="302">
        <v>2009</v>
      </c>
      <c r="B23" s="303"/>
      <c r="C23" s="46">
        <v>65872</v>
      </c>
      <c r="D23" s="46">
        <f>C23*D22</f>
        <v>63735.820137597919</v>
      </c>
      <c r="E23" s="47">
        <v>25991</v>
      </c>
      <c r="F23" s="47"/>
      <c r="G23" s="47"/>
      <c r="H23" s="47"/>
      <c r="I23" s="46">
        <v>132308</v>
      </c>
      <c r="J23" s="46">
        <f>I23*J22</f>
        <v>105108.30090771895</v>
      </c>
      <c r="K23" s="47">
        <v>2078</v>
      </c>
      <c r="L23" s="47">
        <v>1289</v>
      </c>
      <c r="M23" s="47">
        <v>66065</v>
      </c>
      <c r="N23" s="47">
        <v>322622</v>
      </c>
      <c r="O23" s="47">
        <v>3199</v>
      </c>
      <c r="P23" s="47">
        <v>26263</v>
      </c>
      <c r="Q23" s="46">
        <v>106320</v>
      </c>
      <c r="R23" s="46">
        <f>Q23*0.47</f>
        <v>49970.399999999994</v>
      </c>
      <c r="S23" s="47">
        <v>12484</v>
      </c>
      <c r="T23" s="47">
        <v>4900</v>
      </c>
      <c r="U23" s="47">
        <v>6916</v>
      </c>
      <c r="V23" s="47">
        <v>2173</v>
      </c>
      <c r="W23" s="47">
        <v>778480</v>
      </c>
      <c r="X23">
        <f t="shared" ref="X23" si="0">W23*1000</f>
        <v>778480000</v>
      </c>
    </row>
    <row r="24" spans="1:40">
      <c r="A24" s="304"/>
      <c r="B24" s="305"/>
      <c r="C24" s="49">
        <v>-8.4600000000000009</v>
      </c>
      <c r="D24" s="49"/>
      <c r="E24" s="48">
        <v>-3.34</v>
      </c>
      <c r="F24" s="48"/>
      <c r="G24" s="48"/>
      <c r="H24" s="48"/>
      <c r="I24" s="49">
        <v>-17</v>
      </c>
      <c r="J24" s="49"/>
      <c r="K24" s="48">
        <v>-0.27</v>
      </c>
      <c r="L24" s="48">
        <v>-0.17</v>
      </c>
      <c r="M24" s="48">
        <v>-8.49</v>
      </c>
      <c r="N24" s="48">
        <v>-41.44</v>
      </c>
      <c r="O24" s="48">
        <v>-0.41</v>
      </c>
      <c r="P24" s="48">
        <v>-3.37</v>
      </c>
      <c r="Q24" s="49">
        <v>-13.66</v>
      </c>
      <c r="R24" s="49">
        <f>R23/Q23</f>
        <v>0.46999999999999992</v>
      </c>
      <c r="S24" s="48">
        <v>-1.6</v>
      </c>
      <c r="T24" s="48">
        <v>-0.63</v>
      </c>
      <c r="U24" s="48">
        <v>-0.89</v>
      </c>
      <c r="V24" s="48">
        <v>-0.28000000000000003</v>
      </c>
      <c r="W24" s="48">
        <v>-100</v>
      </c>
    </row>
    <row r="26" spans="1:40">
      <c r="B26" t="s">
        <v>115</v>
      </c>
      <c r="C26" t="s">
        <v>116</v>
      </c>
    </row>
    <row r="27" spans="1:40">
      <c r="C27" s="44" t="s">
        <v>88</v>
      </c>
      <c r="D27" s="44" t="s">
        <v>91</v>
      </c>
      <c r="E27" s="44" t="s">
        <v>117</v>
      </c>
      <c r="F27" s="44"/>
      <c r="G27" s="44"/>
      <c r="H27" s="44"/>
      <c r="I27" s="44" t="s">
        <v>118</v>
      </c>
      <c r="J27" s="44" t="s">
        <v>119</v>
      </c>
      <c r="K27" s="44"/>
      <c r="L27" s="44" t="s">
        <v>120</v>
      </c>
      <c r="M27" s="44" t="s">
        <v>121</v>
      </c>
      <c r="N27" s="44" t="s">
        <v>122</v>
      </c>
      <c r="O27" s="44" t="s">
        <v>123</v>
      </c>
      <c r="P27" s="44"/>
      <c r="Q27" s="44"/>
      <c r="R27" s="44" t="s">
        <v>88</v>
      </c>
      <c r="S27" s="44" t="s">
        <v>91</v>
      </c>
      <c r="T27" s="44" t="s">
        <v>117</v>
      </c>
      <c r="U27" s="44" t="s">
        <v>118</v>
      </c>
      <c r="V27" s="44"/>
      <c r="W27" s="44"/>
      <c r="X27" s="45"/>
    </row>
    <row r="28" spans="1:40">
      <c r="B28">
        <v>2008</v>
      </c>
      <c r="C28">
        <f>D21*1000</f>
        <v>60896000</v>
      </c>
      <c r="D28">
        <f>J21*1000</f>
        <v>106860000</v>
      </c>
      <c r="E28">
        <f>R21*1000</f>
        <v>47638000</v>
      </c>
      <c r="I28" s="51">
        <f>SUM(C28:E28)</f>
        <v>215394000</v>
      </c>
      <c r="L28" s="52">
        <f>C28/X21</f>
        <v>8.005889777029869E-2</v>
      </c>
      <c r="M28" s="52">
        <f>D28/X21</f>
        <v>0.14048695835086245</v>
      </c>
      <c r="N28" s="52">
        <f>E28/X21</f>
        <v>6.2628838872528403E-2</v>
      </c>
      <c r="O28" s="53">
        <f>I28/X21</f>
        <v>0.28317469499368952</v>
      </c>
      <c r="P28">
        <v>0.28310000000000002</v>
      </c>
      <c r="R28" s="73">
        <f>L28*$AN18</f>
        <v>6634490064.9978962</v>
      </c>
      <c r="S28" s="73">
        <f>M28*$AN18</f>
        <v>11642170394.53618</v>
      </c>
      <c r="T28" s="73">
        <f>N28*$AN18</f>
        <v>5190059079.6828995</v>
      </c>
      <c r="U28" s="73">
        <f>O28*$AN18</f>
        <v>23466719539.216976</v>
      </c>
    </row>
    <row r="29" spans="1:40">
      <c r="B29">
        <v>2009</v>
      </c>
      <c r="C29">
        <f>C23*1000</f>
        <v>65872000</v>
      </c>
      <c r="D29" s="54">
        <f>J23*1000</f>
        <v>105108300.90771896</v>
      </c>
      <c r="E29">
        <f>R23*1000</f>
        <v>49970399.999999993</v>
      </c>
      <c r="I29" s="55">
        <f>SUM(C29:E29)</f>
        <v>220950700.90771896</v>
      </c>
      <c r="L29" s="52">
        <f>C29/X23</f>
        <v>8.4616175110471689E-2</v>
      </c>
      <c r="M29" s="52">
        <f>D29/X23</f>
        <v>0.13501734265198714</v>
      </c>
      <c r="N29" s="52">
        <f>E29/X23</f>
        <v>6.4189703010995774E-2</v>
      </c>
      <c r="O29" s="53">
        <f>I29/X23</f>
        <v>0.28382322077345462</v>
      </c>
      <c r="P29">
        <v>0.2838</v>
      </c>
      <c r="R29" s="73">
        <f>L29*$AN19</f>
        <v>4189939650.6422772</v>
      </c>
      <c r="S29" s="73">
        <f t="shared" ref="S29" si="1">M29*$AN19</f>
        <v>6685654566.2025032</v>
      </c>
      <c r="T29" s="73">
        <f t="shared" ref="T29" si="2">N29*$AN19</f>
        <v>3178481909.1336956</v>
      </c>
      <c r="U29" s="73">
        <f t="shared" ref="U29" si="3">O29*$AN19</f>
        <v>14054076125.978477</v>
      </c>
    </row>
    <row r="31" spans="1:40">
      <c r="B31" s="39" t="s">
        <v>124</v>
      </c>
      <c r="C31" s="56" t="s">
        <v>88</v>
      </c>
      <c r="D31" s="56" t="s">
        <v>91</v>
      </c>
      <c r="E31" s="56" t="s">
        <v>117</v>
      </c>
      <c r="F31" s="56"/>
      <c r="G31" s="56"/>
      <c r="H31" s="56"/>
      <c r="I31" s="57" t="s">
        <v>118</v>
      </c>
      <c r="AC31" t="s">
        <v>207</v>
      </c>
      <c r="AD31" s="2">
        <v>3500000</v>
      </c>
    </row>
    <row r="32" spans="1:40">
      <c r="B32" s="39">
        <v>2008</v>
      </c>
      <c r="C32" s="58">
        <f t="shared" ref="C32:E33" si="4">L28*$AN18</f>
        <v>6634490064.9978962</v>
      </c>
      <c r="D32" s="58">
        <f t="shared" si="4"/>
        <v>11642170394.53618</v>
      </c>
      <c r="E32" s="58">
        <f t="shared" si="4"/>
        <v>5190059079.6828995</v>
      </c>
      <c r="F32" s="58"/>
      <c r="G32" s="58"/>
      <c r="H32" s="58"/>
      <c r="I32" s="58">
        <f>O28*$AN18</f>
        <v>23466719539.216976</v>
      </c>
      <c r="J32" s="306" t="s">
        <v>125</v>
      </c>
      <c r="K32" s="257"/>
      <c r="L32" s="257"/>
      <c r="M32" s="257"/>
      <c r="N32" s="257"/>
      <c r="O32" s="256"/>
      <c r="R32" s="73"/>
      <c r="W32" t="s">
        <v>199</v>
      </c>
      <c r="X32" t="s">
        <v>200</v>
      </c>
      <c r="Z32" t="s">
        <v>202</v>
      </c>
      <c r="AA32" t="s">
        <v>199</v>
      </c>
      <c r="AD32" t="s">
        <v>205</v>
      </c>
    </row>
    <row r="33" spans="2:36">
      <c r="B33" s="39">
        <v>2009</v>
      </c>
      <c r="C33" s="58">
        <f t="shared" si="4"/>
        <v>4189939650.6422772</v>
      </c>
      <c r="D33" s="58">
        <f t="shared" si="4"/>
        <v>6685654566.2025032</v>
      </c>
      <c r="E33" s="58">
        <f t="shared" si="4"/>
        <v>3178481909.1336956</v>
      </c>
      <c r="F33" s="58"/>
      <c r="G33" s="58"/>
      <c r="H33" s="58"/>
      <c r="I33" s="58">
        <f>O29*$AN19</f>
        <v>14054076125.978477</v>
      </c>
      <c r="J33" s="307" t="s">
        <v>126</v>
      </c>
      <c r="K33" s="307"/>
      <c r="L33" s="307"/>
      <c r="M33" s="307"/>
      <c r="N33" s="307"/>
      <c r="O33" s="307"/>
      <c r="W33" t="s">
        <v>198</v>
      </c>
      <c r="Y33" t="s">
        <v>201</v>
      </c>
      <c r="Z33" t="s">
        <v>197</v>
      </c>
      <c r="AA33" t="s">
        <v>206</v>
      </c>
      <c r="AB33" t="s">
        <v>203</v>
      </c>
      <c r="AC33" t="s">
        <v>104</v>
      </c>
      <c r="AD33" s="5" t="s">
        <v>204</v>
      </c>
      <c r="AI33" t="s">
        <v>208</v>
      </c>
    </row>
    <row r="34" spans="2:36">
      <c r="B34" s="11"/>
      <c r="C34" s="74"/>
      <c r="D34" s="74"/>
      <c r="E34" s="74"/>
      <c r="F34" s="74"/>
      <c r="G34" s="74"/>
      <c r="H34" s="74"/>
      <c r="I34" s="74"/>
      <c r="J34" s="59"/>
      <c r="K34" s="59"/>
      <c r="L34" s="59"/>
      <c r="M34" s="59"/>
      <c r="N34" s="59"/>
      <c r="O34" s="59"/>
      <c r="V34">
        <v>2013</v>
      </c>
      <c r="W34">
        <v>59186</v>
      </c>
      <c r="X34" s="2">
        <v>148460</v>
      </c>
      <c r="Y34" s="2">
        <v>207646</v>
      </c>
      <c r="Z34" s="2">
        <f>(Y34)</f>
        <v>207646</v>
      </c>
      <c r="AA34" s="89">
        <f>Z34/AC34</f>
        <v>0.12306377511106475</v>
      </c>
      <c r="AB34" s="87">
        <v>1479658</v>
      </c>
      <c r="AC34" s="88">
        <f>SUM(AB34,Z34)</f>
        <v>1687304</v>
      </c>
      <c r="AD34" s="2">
        <f>$AD31*1.18</f>
        <v>4130000</v>
      </c>
      <c r="AH34">
        <f>AD34*0.8</f>
        <v>3304000</v>
      </c>
      <c r="AI34" s="69">
        <f>AH34*0.002</f>
        <v>6608</v>
      </c>
      <c r="AJ34">
        <f>Z34*0.0038</f>
        <v>789.0548</v>
      </c>
    </row>
    <row r="35" spans="2:36">
      <c r="B35" s="11"/>
      <c r="C35" s="74"/>
      <c r="D35" s="74"/>
      <c r="E35" s="74"/>
      <c r="F35" s="74"/>
      <c r="G35" s="74"/>
      <c r="H35" s="74"/>
      <c r="I35" s="74"/>
      <c r="J35" s="59"/>
      <c r="K35" s="59"/>
      <c r="L35" s="59"/>
      <c r="M35" s="59"/>
      <c r="N35" s="59"/>
      <c r="O35" s="59"/>
      <c r="V35">
        <v>2014</v>
      </c>
      <c r="W35">
        <v>106683</v>
      </c>
      <c r="X35" s="2">
        <v>160999</v>
      </c>
      <c r="Y35" s="2">
        <v>267682</v>
      </c>
      <c r="Z35" s="2">
        <f>Y35+Y34</f>
        <v>475328</v>
      </c>
      <c r="AA35" s="89">
        <f t="shared" ref="AA35:AA41" si="5">Z35/AC35</f>
        <v>0.23773817431038485</v>
      </c>
      <c r="AB35" s="87">
        <v>1524048</v>
      </c>
      <c r="AC35" s="88">
        <f t="shared" ref="AC35:AC41" si="6">SUM(AB35,Z35)</f>
        <v>1999376</v>
      </c>
      <c r="AD35" s="2">
        <f>AD34*AF35</f>
        <v>4873400</v>
      </c>
      <c r="AE35" s="69">
        <f>(AC35-AC34)/AC34</f>
        <v>0.18495303750835654</v>
      </c>
      <c r="AF35">
        <v>1.18</v>
      </c>
      <c r="AH35">
        <f t="shared" ref="AH35:AH41" si="7">AD35*0.8</f>
        <v>3898720</v>
      </c>
      <c r="AI35" s="69">
        <f t="shared" ref="AI35:AI41" si="8">AH35*0.002</f>
        <v>7797.4400000000005</v>
      </c>
    </row>
    <row r="36" spans="2:36">
      <c r="V36">
        <v>2015</v>
      </c>
      <c r="W36">
        <v>156977</v>
      </c>
      <c r="X36" s="2">
        <v>174331</v>
      </c>
      <c r="Y36" s="2">
        <v>331308</v>
      </c>
      <c r="Z36" s="2">
        <f>SUM(Y34:Y36)</f>
        <v>806636</v>
      </c>
      <c r="AA36" s="89">
        <f t="shared" si="5"/>
        <v>0.33943540768513786</v>
      </c>
      <c r="AB36" s="87">
        <v>1569769</v>
      </c>
      <c r="AC36" s="88">
        <f t="shared" si="6"/>
        <v>2376405</v>
      </c>
      <c r="AD36" s="2">
        <f t="shared" ref="AD36:AD41" si="9">AD35*AF36</f>
        <v>5799346</v>
      </c>
      <c r="AE36" s="69">
        <f t="shared" ref="AE36:AE41" si="10">(AC36-AC35)/AC35</f>
        <v>0.18857333488048272</v>
      </c>
      <c r="AF36">
        <v>1.19</v>
      </c>
      <c r="AH36">
        <f t="shared" si="7"/>
        <v>4639476.8</v>
      </c>
      <c r="AI36" s="69">
        <f t="shared" si="8"/>
        <v>9278.9535999999989</v>
      </c>
    </row>
    <row r="37" spans="2:36">
      <c r="C37" t="s">
        <v>157</v>
      </c>
      <c r="D37" t="s">
        <v>167</v>
      </c>
      <c r="E37" t="s">
        <v>168</v>
      </c>
      <c r="I37" t="s">
        <v>158</v>
      </c>
      <c r="L37" t="s">
        <v>131</v>
      </c>
      <c r="M37" t="s">
        <v>132</v>
      </c>
      <c r="O37" t="s">
        <v>133</v>
      </c>
      <c r="R37" t="s">
        <v>128</v>
      </c>
      <c r="V37">
        <v>2016</v>
      </c>
      <c r="W37">
        <v>210192</v>
      </c>
      <c r="X37" s="2">
        <v>188503</v>
      </c>
      <c r="Y37" s="2">
        <v>398695</v>
      </c>
      <c r="Z37" s="2">
        <f>SUM(Y34:Y37)</f>
        <v>1205331</v>
      </c>
      <c r="AA37" s="89">
        <f t="shared" si="5"/>
        <v>0.42709020963484778</v>
      </c>
      <c r="AB37" s="87">
        <v>1616862</v>
      </c>
      <c r="AC37" s="88">
        <f t="shared" si="6"/>
        <v>2822193</v>
      </c>
      <c r="AD37" s="2">
        <f t="shared" si="9"/>
        <v>6901221.7399999993</v>
      </c>
      <c r="AE37" s="69">
        <f t="shared" si="10"/>
        <v>0.18758923668314112</v>
      </c>
      <c r="AF37">
        <v>1.19</v>
      </c>
      <c r="AH37">
        <f t="shared" si="7"/>
        <v>5520977.392</v>
      </c>
      <c r="AI37" s="69">
        <f t="shared" si="8"/>
        <v>11041.954784</v>
      </c>
    </row>
    <row r="38" spans="2:36">
      <c r="C38" t="s">
        <v>127</v>
      </c>
      <c r="D38" t="s">
        <v>127</v>
      </c>
      <c r="E38" t="s">
        <v>127</v>
      </c>
      <c r="I38" t="s">
        <v>127</v>
      </c>
      <c r="K38" s="5">
        <v>2008</v>
      </c>
      <c r="L38">
        <v>1.54</v>
      </c>
      <c r="M38">
        <f>L38*N42</f>
        <v>5.8212000000000002</v>
      </c>
      <c r="O38" s="62">
        <v>100.0624104</v>
      </c>
      <c r="R38" t="s">
        <v>129</v>
      </c>
      <c r="S38" s="61">
        <f>C39*M38</f>
        <v>14888487398.4</v>
      </c>
      <c r="V38">
        <v>2017</v>
      </c>
      <c r="W38">
        <v>266459</v>
      </c>
      <c r="X38" s="2">
        <v>203561</v>
      </c>
      <c r="Y38" s="2">
        <v>470020</v>
      </c>
      <c r="Z38" s="2">
        <f>SUM(Y34:Y38)</f>
        <v>1675351</v>
      </c>
      <c r="AA38" s="89">
        <f t="shared" si="5"/>
        <v>0.50149413943525334</v>
      </c>
      <c r="AB38" s="87">
        <v>1665368</v>
      </c>
      <c r="AC38" s="88">
        <f t="shared" si="6"/>
        <v>3340719</v>
      </c>
      <c r="AD38" s="2">
        <f t="shared" si="9"/>
        <v>8143441.6531999987</v>
      </c>
      <c r="AE38" s="69">
        <f t="shared" si="10"/>
        <v>0.18373158745698823</v>
      </c>
      <c r="AF38">
        <v>1.18</v>
      </c>
      <c r="AH38">
        <f t="shared" si="7"/>
        <v>6514753.3225599993</v>
      </c>
      <c r="AI38" s="69">
        <f t="shared" si="8"/>
        <v>13029.506645119998</v>
      </c>
    </row>
    <row r="39" spans="2:36">
      <c r="B39">
        <v>2008</v>
      </c>
      <c r="C39">
        <f>C28*42</f>
        <v>2557632000</v>
      </c>
      <c r="D39" s="60">
        <f>D28*42</f>
        <v>4488120000</v>
      </c>
      <c r="E39" s="60">
        <f>E28*42</f>
        <v>2000796000</v>
      </c>
      <c r="F39" s="60"/>
      <c r="G39" s="60"/>
      <c r="H39" s="60"/>
      <c r="I39" s="60">
        <f>I28*42</f>
        <v>9046548000</v>
      </c>
      <c r="K39" s="5">
        <v>2009</v>
      </c>
      <c r="L39">
        <v>1.2410000000000001</v>
      </c>
      <c r="M39">
        <f>L39*N42</f>
        <v>4.6909799999999997</v>
      </c>
      <c r="O39" s="63">
        <v>61.922669300000003</v>
      </c>
      <c r="R39" t="s">
        <v>130</v>
      </c>
      <c r="S39" s="61">
        <f>C40*M39</f>
        <v>12978177851.519999</v>
      </c>
      <c r="V39">
        <v>2018</v>
      </c>
      <c r="W39">
        <v>325912</v>
      </c>
      <c r="X39" s="2">
        <v>219554</v>
      </c>
      <c r="Y39" s="2">
        <v>545466</v>
      </c>
      <c r="Z39" s="2">
        <f>SUM(Y35:Y39)</f>
        <v>2013171</v>
      </c>
      <c r="AA39" s="89">
        <f t="shared" si="5"/>
        <v>0.53994126324259084</v>
      </c>
      <c r="AB39" s="87">
        <v>1715329</v>
      </c>
      <c r="AC39" s="88">
        <f t="shared" si="6"/>
        <v>3728500</v>
      </c>
      <c r="AD39" s="2">
        <f t="shared" si="9"/>
        <v>9120654.6515839994</v>
      </c>
      <c r="AE39" s="69">
        <f t="shared" si="10"/>
        <v>0.11607710795191095</v>
      </c>
      <c r="AF39">
        <v>1.1200000000000001</v>
      </c>
      <c r="AH39">
        <f t="shared" si="7"/>
        <v>7296523.7212672001</v>
      </c>
      <c r="AI39" s="69">
        <f t="shared" si="8"/>
        <v>14593.0474425344</v>
      </c>
    </row>
    <row r="40" spans="2:36">
      <c r="B40">
        <v>2009</v>
      </c>
      <c r="C40">
        <f>C29*42</f>
        <v>2766624000</v>
      </c>
      <c r="D40" s="60">
        <f>D29*42</f>
        <v>4414548638.1241961</v>
      </c>
      <c r="E40" s="60">
        <f t="shared" ref="E40" si="11">E29*42</f>
        <v>2098756799.9999998</v>
      </c>
      <c r="F40" s="60"/>
      <c r="G40" s="60"/>
      <c r="H40" s="60"/>
      <c r="I40" s="60">
        <f>I29*42</f>
        <v>9279929438.124197</v>
      </c>
      <c r="K40" s="5" t="s">
        <v>134</v>
      </c>
      <c r="L40">
        <v>1.45</v>
      </c>
      <c r="M40">
        <f>L40*N42</f>
        <v>5.4809999999999999</v>
      </c>
      <c r="O40" s="64">
        <v>77</v>
      </c>
      <c r="V40">
        <v>2019</v>
      </c>
      <c r="W40">
        <v>388694</v>
      </c>
      <c r="X40" s="2">
        <v>236535</v>
      </c>
      <c r="Y40" s="2">
        <v>625229</v>
      </c>
      <c r="Z40" s="2">
        <f>SUM(Y36:Y40)</f>
        <v>2370718</v>
      </c>
      <c r="AA40" s="89">
        <f t="shared" si="5"/>
        <v>0.57298223302099549</v>
      </c>
      <c r="AB40" s="87">
        <v>1766789</v>
      </c>
      <c r="AC40" s="88">
        <f t="shared" si="6"/>
        <v>4137507</v>
      </c>
      <c r="AD40" s="2">
        <f t="shared" si="9"/>
        <v>10123926.66325824</v>
      </c>
      <c r="AE40" s="69">
        <f t="shared" si="10"/>
        <v>0.10969746546868714</v>
      </c>
      <c r="AF40">
        <v>1.1100000000000001</v>
      </c>
      <c r="AH40">
        <f t="shared" si="7"/>
        <v>8099141.3306065919</v>
      </c>
      <c r="AI40" s="69">
        <f t="shared" si="8"/>
        <v>16198.282661213185</v>
      </c>
    </row>
    <row r="41" spans="2:36">
      <c r="D41" s="76"/>
      <c r="E41" s="76"/>
      <c r="F41" s="76"/>
      <c r="G41" s="76"/>
      <c r="H41" s="76"/>
      <c r="V41">
        <v>2020</v>
      </c>
      <c r="W41">
        <v>454948</v>
      </c>
      <c r="X41" s="2">
        <v>254559</v>
      </c>
      <c r="Y41" s="2">
        <v>709507</v>
      </c>
      <c r="Z41" s="2">
        <f>SUM(Y37:Y41)</f>
        <v>2748917</v>
      </c>
      <c r="AA41" s="89">
        <f t="shared" si="5"/>
        <v>0.60168353904790173</v>
      </c>
      <c r="AB41" s="87">
        <v>1819792</v>
      </c>
      <c r="AC41" s="88">
        <f t="shared" si="6"/>
        <v>4568709</v>
      </c>
      <c r="AD41" s="2">
        <f t="shared" si="9"/>
        <v>11136319.329584064</v>
      </c>
      <c r="AE41" s="69">
        <f t="shared" si="10"/>
        <v>0.10421782972210077</v>
      </c>
      <c r="AF41">
        <v>1.1000000000000001</v>
      </c>
      <c r="AH41">
        <f t="shared" si="7"/>
        <v>8909055.4636672512</v>
      </c>
      <c r="AI41" s="69">
        <f t="shared" si="8"/>
        <v>17818.110927334503</v>
      </c>
    </row>
    <row r="42" spans="2:36">
      <c r="B42" s="76" t="s">
        <v>184</v>
      </c>
      <c r="C42" s="69">
        <f>C40*25</f>
        <v>69165600000</v>
      </c>
      <c r="D42" s="69">
        <f t="shared" ref="D42:I42" si="12">D40*25</f>
        <v>110363715953.1049</v>
      </c>
      <c r="E42" s="69">
        <f t="shared" si="12"/>
        <v>52468919999.999992</v>
      </c>
      <c r="F42" s="69"/>
      <c r="G42" s="69"/>
      <c r="H42" s="69"/>
      <c r="I42" s="69">
        <f t="shared" si="12"/>
        <v>231998235953.10492</v>
      </c>
      <c r="M42" t="s">
        <v>135</v>
      </c>
      <c r="N42">
        <v>3.78</v>
      </c>
      <c r="S42" t="s">
        <v>151</v>
      </c>
      <c r="T42" s="73">
        <f>D40*S43</f>
        <v>145282795.68066731</v>
      </c>
      <c r="Y42" s="2"/>
      <c r="Z42" s="2"/>
    </row>
    <row r="43" spans="2:36" ht="15" thickBot="1">
      <c r="B43" t="s">
        <v>186</v>
      </c>
      <c r="C43" s="77">
        <f>(C42/365)/$J79</f>
        <v>54.141369863013701</v>
      </c>
      <c r="D43" s="77">
        <f>(D42/365)/$J79</f>
        <v>86.3903843077142</v>
      </c>
      <c r="E43" s="77">
        <f>(E42/365)/$J79</f>
        <v>41.071561643835615</v>
      </c>
      <c r="F43" s="77"/>
      <c r="G43" s="77"/>
      <c r="H43" s="77"/>
      <c r="I43" s="77">
        <f>(I42/365)/$J79</f>
        <v>181.60331581456356</v>
      </c>
      <c r="J43" s="79">
        <f>I43/3</f>
        <v>60.534438604854522</v>
      </c>
      <c r="K43" s="80" t="s">
        <v>187</v>
      </c>
      <c r="R43" t="s">
        <v>152</v>
      </c>
      <c r="S43" s="7">
        <f>(32.91*0.1)/100</f>
        <v>3.2910000000000002E-2</v>
      </c>
      <c r="T43" s="73">
        <f>D40*S44</f>
        <v>1324364591.4372587</v>
      </c>
      <c r="Y43" s="2" t="s">
        <v>209</v>
      </c>
      <c r="Z43" s="2" t="s">
        <v>210</v>
      </c>
    </row>
    <row r="44" spans="2:36" ht="15" thickTop="1">
      <c r="B44" t="s">
        <v>185</v>
      </c>
      <c r="C44" s="69">
        <f>C42*0.25</f>
        <v>17291400000</v>
      </c>
      <c r="D44" s="69">
        <f>D42*0.25</f>
        <v>27590928988.276226</v>
      </c>
      <c r="E44" s="69">
        <f>E42*0.25</f>
        <v>13117229999.999998</v>
      </c>
      <c r="F44" s="69"/>
      <c r="G44" s="69"/>
      <c r="H44" s="69"/>
      <c r="I44" s="69">
        <f>I42*0.25</f>
        <v>57999558988.27623</v>
      </c>
      <c r="K44" s="77"/>
      <c r="S44" s="7">
        <v>0.3</v>
      </c>
      <c r="Y44" s="2">
        <f t="shared" ref="Y44:Y51" si="13">Z34*0.1</f>
        <v>20764.600000000002</v>
      </c>
      <c r="Z44">
        <f t="shared" ref="Z44:Z51" si="14">Z34*0.9</f>
        <v>186881.4</v>
      </c>
    </row>
    <row r="45" spans="2:36">
      <c r="B45" t="s">
        <v>189</v>
      </c>
      <c r="C45" s="69">
        <f>C44/1000</f>
        <v>17291400</v>
      </c>
      <c r="D45" s="69">
        <f t="shared" ref="D45:I46" si="15">D44/1000</f>
        <v>27590928.988276225</v>
      </c>
      <c r="E45" s="69">
        <f t="shared" si="15"/>
        <v>13117229.999999998</v>
      </c>
      <c r="F45" s="69"/>
      <c r="G45" s="69"/>
      <c r="H45" s="69"/>
      <c r="I45" s="69">
        <f t="shared" si="15"/>
        <v>57999558.988276228</v>
      </c>
      <c r="K45" s="77"/>
      <c r="S45" s="78"/>
      <c r="Y45" s="2">
        <f t="shared" si="13"/>
        <v>47532.800000000003</v>
      </c>
      <c r="Z45">
        <f t="shared" si="14"/>
        <v>427795.20000000001</v>
      </c>
    </row>
    <row r="46" spans="2:36">
      <c r="B46" t="s">
        <v>188</v>
      </c>
      <c r="C46" s="69">
        <f>C45/1000</f>
        <v>17291.400000000001</v>
      </c>
      <c r="D46" s="69">
        <f t="shared" si="15"/>
        <v>27590.928988276224</v>
      </c>
      <c r="E46" s="69">
        <f t="shared" si="15"/>
        <v>13117.229999999998</v>
      </c>
      <c r="F46" s="69"/>
      <c r="G46" s="69"/>
      <c r="H46" s="69"/>
      <c r="I46" s="69">
        <f t="shared" si="15"/>
        <v>57999.558988276229</v>
      </c>
      <c r="K46" s="77"/>
      <c r="S46" s="78"/>
      <c r="Y46" s="2">
        <f t="shared" si="13"/>
        <v>80663.600000000006</v>
      </c>
      <c r="Z46">
        <f t="shared" si="14"/>
        <v>725972.4</v>
      </c>
      <c r="AF46" s="2">
        <v>1000000</v>
      </c>
      <c r="AG46">
        <f>AF46*0.002</f>
        <v>2000</v>
      </c>
    </row>
    <row r="47" spans="2:36">
      <c r="C47" s="69"/>
      <c r="D47" s="69"/>
      <c r="E47" s="69"/>
      <c r="F47" s="69"/>
      <c r="G47" s="69"/>
      <c r="H47" s="69"/>
      <c r="I47" s="69"/>
      <c r="K47" s="77"/>
      <c r="O47" s="1" t="s">
        <v>195</v>
      </c>
      <c r="S47" s="78"/>
      <c r="Y47" s="2">
        <f t="shared" si="13"/>
        <v>120533.1</v>
      </c>
      <c r="Z47">
        <f t="shared" si="14"/>
        <v>1084797.9000000001</v>
      </c>
    </row>
    <row r="48" spans="2:36">
      <c r="B48" t="s">
        <v>196</v>
      </c>
      <c r="C48" s="69"/>
      <c r="D48" s="69"/>
      <c r="E48" s="69"/>
      <c r="F48" s="69"/>
      <c r="G48" s="69"/>
      <c r="H48" s="69"/>
      <c r="I48" s="69"/>
      <c r="K48" s="77"/>
      <c r="O48" s="1"/>
      <c r="S48" s="78"/>
      <c r="Y48" s="2">
        <f t="shared" si="13"/>
        <v>167535.1</v>
      </c>
      <c r="Z48">
        <f t="shared" si="14"/>
        <v>1507815.9000000001</v>
      </c>
    </row>
    <row r="49" spans="2:26">
      <c r="C49" s="69"/>
      <c r="D49" s="69"/>
      <c r="E49" s="69"/>
      <c r="F49" s="69"/>
      <c r="G49" s="69"/>
      <c r="H49" s="69"/>
      <c r="I49" s="69"/>
      <c r="K49" s="77"/>
      <c r="O49" s="1"/>
      <c r="S49" s="78"/>
      <c r="Y49" s="2">
        <f t="shared" si="13"/>
        <v>201317.1</v>
      </c>
      <c r="Z49">
        <f t="shared" si="14"/>
        <v>1811853.9000000001</v>
      </c>
    </row>
    <row r="50" spans="2:26">
      <c r="C50" s="69"/>
      <c r="D50" s="69"/>
      <c r="E50" s="69"/>
      <c r="F50" s="69"/>
      <c r="G50" s="69"/>
      <c r="H50" s="69"/>
      <c r="I50" s="69"/>
      <c r="K50" s="77"/>
      <c r="O50" s="1"/>
      <c r="S50" s="78"/>
      <c r="Y50" s="2">
        <f t="shared" si="13"/>
        <v>237071.80000000002</v>
      </c>
      <c r="Z50">
        <f t="shared" si="14"/>
        <v>2133646.2000000002</v>
      </c>
    </row>
    <row r="51" spans="2:26">
      <c r="C51" s="69"/>
      <c r="D51" s="69"/>
      <c r="E51" s="271"/>
      <c r="F51" s="271"/>
      <c r="G51" s="271"/>
      <c r="H51" s="271"/>
      <c r="I51" s="271"/>
      <c r="J51" s="271"/>
      <c r="K51" s="77"/>
      <c r="O51" s="84"/>
      <c r="S51" s="78"/>
      <c r="Y51" s="2">
        <f t="shared" si="13"/>
        <v>274891.7</v>
      </c>
      <c r="Z51">
        <f t="shared" si="14"/>
        <v>2474025.3000000003</v>
      </c>
    </row>
    <row r="52" spans="2:26">
      <c r="S52" s="78"/>
    </row>
    <row r="53" spans="2:26">
      <c r="N53" s="1"/>
      <c r="Q53" s="78"/>
    </row>
    <row r="54" spans="2:26">
      <c r="D54" s="83"/>
      <c r="E54" s="2"/>
      <c r="F54" s="2"/>
      <c r="G54" s="90"/>
      <c r="H54" s="2"/>
      <c r="I54" s="81"/>
      <c r="Q54" s="85"/>
      <c r="R54" s="1"/>
    </row>
    <row r="55" spans="2:26">
      <c r="D55" s="83"/>
      <c r="E55" s="2"/>
      <c r="F55" s="2"/>
      <c r="G55" s="90"/>
      <c r="H55" s="2"/>
      <c r="I55" s="81"/>
      <c r="O55" s="5"/>
      <c r="P55" s="5"/>
      <c r="Q55" s="78"/>
    </row>
    <row r="56" spans="2:26">
      <c r="D56" s="83"/>
      <c r="E56" s="2"/>
      <c r="F56" s="2"/>
      <c r="G56" s="90"/>
      <c r="H56" s="2"/>
      <c r="I56" s="81"/>
      <c r="Q56" s="13"/>
      <c r="R56" s="81"/>
    </row>
    <row r="57" spans="2:26">
      <c r="D57" s="83"/>
      <c r="E57" s="2"/>
      <c r="F57" s="2"/>
      <c r="G57" s="90"/>
      <c r="H57" s="2"/>
      <c r="I57" s="81"/>
      <c r="Q57" s="13"/>
      <c r="R57" s="81"/>
    </row>
    <row r="58" spans="2:26">
      <c r="D58" s="83"/>
      <c r="E58" s="2"/>
      <c r="F58" s="2"/>
      <c r="G58" s="90"/>
      <c r="H58" s="2"/>
      <c r="I58" s="81"/>
      <c r="P58" s="29"/>
      <c r="Q58" s="29"/>
      <c r="R58" s="29"/>
    </row>
    <row r="59" spans="2:26">
      <c r="D59" s="83"/>
      <c r="E59" s="2"/>
      <c r="F59" s="2"/>
      <c r="G59" s="90"/>
      <c r="H59" s="2"/>
      <c r="I59" s="81"/>
      <c r="O59" s="5"/>
      <c r="P59" s="5"/>
      <c r="Q59" s="86"/>
      <c r="R59" s="69"/>
    </row>
    <row r="60" spans="2:26" ht="13.5" customHeight="1">
      <c r="D60" s="83"/>
      <c r="E60" s="2"/>
      <c r="F60" s="2"/>
      <c r="G60" s="90"/>
      <c r="H60" s="2"/>
      <c r="I60" s="81"/>
      <c r="O60" s="5"/>
      <c r="P60" s="5"/>
      <c r="Q60" s="86"/>
      <c r="R60" s="69"/>
    </row>
    <row r="61" spans="2:26">
      <c r="D61" s="83"/>
      <c r="E61" s="2"/>
      <c r="F61" s="2"/>
      <c r="G61" s="90"/>
      <c r="H61" s="2"/>
      <c r="I61" s="81"/>
      <c r="Q61" s="78"/>
    </row>
    <row r="62" spans="2:26">
      <c r="D62" s="83"/>
      <c r="E62" s="2"/>
      <c r="F62" s="2"/>
      <c r="G62" s="2"/>
      <c r="H62" s="2"/>
      <c r="I62" s="2"/>
      <c r="J62" s="2"/>
      <c r="S62" s="78"/>
    </row>
    <row r="63" spans="2:26">
      <c r="B63" s="75" t="s">
        <v>169</v>
      </c>
      <c r="C63" s="75"/>
      <c r="D63" s="75"/>
      <c r="E63" s="75"/>
      <c r="F63" s="75"/>
      <c r="G63" s="75" t="s">
        <v>211</v>
      </c>
      <c r="H63" s="75" t="s">
        <v>212</v>
      </c>
      <c r="I63" s="75" t="s">
        <v>213</v>
      </c>
      <c r="O63" s="2"/>
      <c r="S63" s="78"/>
    </row>
    <row r="64" spans="2:26">
      <c r="F64">
        <v>2013</v>
      </c>
      <c r="G64" s="91">
        <f t="shared" ref="G64:G71" si="16">E54+G54</f>
        <v>0</v>
      </c>
      <c r="H64" s="2">
        <f t="shared" ref="H64:H71" si="17">H54+E54</f>
        <v>0</v>
      </c>
      <c r="I64" s="81">
        <f t="shared" ref="I64:I71" si="18">I54+E54</f>
        <v>0</v>
      </c>
      <c r="S64" s="78"/>
    </row>
    <row r="65" spans="2:19">
      <c r="F65">
        <v>2014</v>
      </c>
      <c r="G65" s="91">
        <f t="shared" si="16"/>
        <v>0</v>
      </c>
      <c r="H65" s="2">
        <f t="shared" si="17"/>
        <v>0</v>
      </c>
      <c r="I65" s="81">
        <f t="shared" si="18"/>
        <v>0</v>
      </c>
      <c r="S65" s="78"/>
    </row>
    <row r="66" spans="2:19">
      <c r="B66" t="s">
        <v>159</v>
      </c>
      <c r="C66">
        <v>32.909999999999997</v>
      </c>
      <c r="E66" t="s">
        <v>161</v>
      </c>
      <c r="F66">
        <v>2015</v>
      </c>
      <c r="G66" s="91">
        <f t="shared" si="16"/>
        <v>0</v>
      </c>
      <c r="H66" s="2">
        <f t="shared" si="17"/>
        <v>0</v>
      </c>
      <c r="I66" s="81">
        <f t="shared" si="18"/>
        <v>0</v>
      </c>
      <c r="S66" s="78"/>
    </row>
    <row r="67" spans="2:19">
      <c r="B67" t="s">
        <v>160</v>
      </c>
      <c r="C67" s="2">
        <f>C39*C66</f>
        <v>84171669119.999985</v>
      </c>
      <c r="D67" t="s">
        <v>153</v>
      </c>
      <c r="E67" s="72">
        <v>8672400000</v>
      </c>
      <c r="F67">
        <v>2016</v>
      </c>
      <c r="G67" s="91">
        <f t="shared" si="16"/>
        <v>0</v>
      </c>
      <c r="H67" s="2">
        <f t="shared" si="17"/>
        <v>0</v>
      </c>
      <c r="I67" s="81">
        <f t="shared" si="18"/>
        <v>0</v>
      </c>
    </row>
    <row r="68" spans="2:19">
      <c r="B68" t="s">
        <v>154</v>
      </c>
      <c r="D68">
        <v>0.25</v>
      </c>
      <c r="F68">
        <v>2017</v>
      </c>
      <c r="G68" s="91">
        <f t="shared" si="16"/>
        <v>0</v>
      </c>
      <c r="H68" s="2">
        <f t="shared" si="17"/>
        <v>0</v>
      </c>
      <c r="I68" s="81">
        <f t="shared" si="18"/>
        <v>0</v>
      </c>
    </row>
    <row r="69" spans="2:19">
      <c r="B69" t="s">
        <v>155</v>
      </c>
      <c r="D69">
        <v>0.92</v>
      </c>
      <c r="F69">
        <v>2018</v>
      </c>
      <c r="G69" s="91">
        <f t="shared" si="16"/>
        <v>0</v>
      </c>
      <c r="H69" s="2">
        <f t="shared" si="17"/>
        <v>0</v>
      </c>
      <c r="I69" s="81">
        <f t="shared" si="18"/>
        <v>0</v>
      </c>
    </row>
    <row r="70" spans="2:19">
      <c r="B70" t="s">
        <v>156</v>
      </c>
      <c r="D70">
        <f>D69-D68</f>
        <v>0.67</v>
      </c>
      <c r="F70">
        <v>2019</v>
      </c>
      <c r="G70" s="91">
        <f t="shared" si="16"/>
        <v>0</v>
      </c>
      <c r="H70" s="2">
        <f t="shared" si="17"/>
        <v>0</v>
      </c>
      <c r="I70" s="81">
        <f t="shared" si="18"/>
        <v>0</v>
      </c>
    </row>
    <row r="71" spans="2:19">
      <c r="F71">
        <v>2020</v>
      </c>
      <c r="G71" s="91">
        <f t="shared" si="16"/>
        <v>0</v>
      </c>
      <c r="H71" s="2">
        <f t="shared" si="17"/>
        <v>0</v>
      </c>
      <c r="I71" s="81">
        <f t="shared" si="18"/>
        <v>0</v>
      </c>
    </row>
    <row r="72" spans="2:19">
      <c r="B72" t="s">
        <v>163</v>
      </c>
      <c r="C72" s="69">
        <f>C67*0.67</f>
        <v>56395018310.399994</v>
      </c>
      <c r="D72" t="s">
        <v>153</v>
      </c>
    </row>
    <row r="73" spans="2:19">
      <c r="B73" t="s">
        <v>164</v>
      </c>
      <c r="C73">
        <f>C72/E67</f>
        <v>6.5028156347031958</v>
      </c>
      <c r="D73" t="s">
        <v>176</v>
      </c>
    </row>
    <row r="74" spans="2:19">
      <c r="B74" t="s">
        <v>165</v>
      </c>
      <c r="C74" s="73">
        <v>12000000000</v>
      </c>
    </row>
    <row r="75" spans="2:19">
      <c r="J75" t="s">
        <v>180</v>
      </c>
    </row>
    <row r="76" spans="2:19">
      <c r="J76" t="s">
        <v>181</v>
      </c>
    </row>
    <row r="77" spans="2:19">
      <c r="B77" s="75" t="s">
        <v>172</v>
      </c>
      <c r="C77" s="75"/>
      <c r="D77" s="75"/>
    </row>
    <row r="78" spans="2:19">
      <c r="B78" t="s">
        <v>170</v>
      </c>
      <c r="C78" s="69">
        <f>D40*32.91</f>
        <v>145282795680.66727</v>
      </c>
    </row>
    <row r="79" spans="2:19">
      <c r="B79" t="s">
        <v>163</v>
      </c>
      <c r="C79" s="69">
        <f>C78*D70</f>
        <v>97339473106.047073</v>
      </c>
      <c r="J79" s="2">
        <v>3500000</v>
      </c>
      <c r="K79" t="s">
        <v>182</v>
      </c>
    </row>
    <row r="80" spans="2:19">
      <c r="B80" t="s">
        <v>171</v>
      </c>
      <c r="C80">
        <f>C79/E67</f>
        <v>11.224052523643637</v>
      </c>
      <c r="D80" t="s">
        <v>176</v>
      </c>
      <c r="J80" s="69">
        <f>J79*70</f>
        <v>245000000</v>
      </c>
      <c r="M80" s="1" t="s">
        <v>183</v>
      </c>
    </row>
    <row r="81" spans="2:10">
      <c r="B81" t="s">
        <v>178</v>
      </c>
      <c r="C81" s="70">
        <v>22000000000</v>
      </c>
      <c r="J81" s="69">
        <f>J80*365</f>
        <v>89425000000</v>
      </c>
    </row>
    <row r="82" spans="2:10">
      <c r="J82" s="69">
        <f>C92-J81</f>
        <v>115194660131.8071</v>
      </c>
    </row>
    <row r="83" spans="2:10">
      <c r="J83">
        <f>J82/E67</f>
        <v>13.282904401527501</v>
      </c>
    </row>
    <row r="84" spans="2:10">
      <c r="B84" s="75" t="s">
        <v>173</v>
      </c>
      <c r="C84" s="75"/>
      <c r="D84" s="75"/>
    </row>
    <row r="85" spans="2:10">
      <c r="B85" t="s">
        <v>166</v>
      </c>
      <c r="C85" s="69">
        <f>E40*32.91</f>
        <v>69070086287.999985</v>
      </c>
      <c r="D85" t="s">
        <v>153</v>
      </c>
    </row>
    <row r="86" spans="2:10">
      <c r="B86" t="s">
        <v>163</v>
      </c>
      <c r="C86" s="69">
        <f>C85*D70</f>
        <v>46276957812.959991</v>
      </c>
      <c r="D86" t="s">
        <v>153</v>
      </c>
    </row>
    <row r="87" spans="2:10">
      <c r="B87" t="s">
        <v>178</v>
      </c>
      <c r="C87">
        <f>C86/E67</f>
        <v>5.3361189305105841</v>
      </c>
      <c r="D87" t="s">
        <v>176</v>
      </c>
    </row>
    <row r="90" spans="2:10">
      <c r="B90" s="75" t="s">
        <v>174</v>
      </c>
      <c r="C90" s="75"/>
      <c r="D90" s="75"/>
    </row>
    <row r="91" spans="2:10">
      <c r="B91" t="s">
        <v>175</v>
      </c>
      <c r="C91" s="69">
        <f>I40*32.91</f>
        <v>305402477808.6673</v>
      </c>
    </row>
    <row r="92" spans="2:10">
      <c r="B92" t="s">
        <v>163</v>
      </c>
      <c r="C92" s="69">
        <f>C91*D70</f>
        <v>204619660131.8071</v>
      </c>
    </row>
    <row r="93" spans="2:10">
      <c r="B93" t="s">
        <v>171</v>
      </c>
      <c r="C93">
        <f>C92/E67</f>
        <v>23.594352212975313</v>
      </c>
      <c r="D93" t="s">
        <v>176</v>
      </c>
    </row>
    <row r="94" spans="2:10">
      <c r="B94" t="s">
        <v>177</v>
      </c>
      <c r="C94" s="73">
        <f>23*2000000000</f>
        <v>46000000000</v>
      </c>
    </row>
    <row r="101" spans="2:10">
      <c r="B101" s="1" t="s">
        <v>179</v>
      </c>
    </row>
    <row r="112" spans="2:10">
      <c r="E112" s="271" t="s">
        <v>190</v>
      </c>
      <c r="F112" s="271"/>
      <c r="G112" s="271"/>
      <c r="H112" s="271"/>
      <c r="I112" s="271"/>
      <c r="J112" s="271"/>
    </row>
    <row r="113" spans="3:11">
      <c r="D113" t="s">
        <v>191</v>
      </c>
      <c r="E113" t="s">
        <v>192</v>
      </c>
      <c r="I113" t="s">
        <v>193</v>
      </c>
      <c r="J113" t="s">
        <v>162</v>
      </c>
      <c r="K113" t="s">
        <v>194</v>
      </c>
    </row>
    <row r="114" spans="3:11">
      <c r="C114">
        <v>2010</v>
      </c>
      <c r="D114" s="82">
        <v>425020</v>
      </c>
      <c r="E114" s="2">
        <v>69455</v>
      </c>
      <c r="F114" s="2"/>
      <c r="G114" s="2"/>
      <c r="H114" s="2"/>
      <c r="I114" s="2">
        <v>73552</v>
      </c>
      <c r="J114" s="2">
        <v>76136</v>
      </c>
      <c r="K114">
        <v>5.9</v>
      </c>
    </row>
    <row r="115" spans="3:11">
      <c r="C115">
        <v>2011</v>
      </c>
      <c r="D115" s="82">
        <v>438762</v>
      </c>
      <c r="E115" s="2">
        <v>71324</v>
      </c>
      <c r="F115" s="2"/>
      <c r="G115" s="2"/>
      <c r="H115" s="2"/>
      <c r="I115" s="2">
        <v>77209</v>
      </c>
      <c r="J115" s="2">
        <v>80015</v>
      </c>
      <c r="K115">
        <v>8.3000000000000007</v>
      </c>
    </row>
    <row r="116" spans="3:11">
      <c r="C116">
        <v>2012</v>
      </c>
      <c r="D116" s="82">
        <v>449798</v>
      </c>
      <c r="E116" s="2">
        <v>72958</v>
      </c>
      <c r="F116" s="2"/>
      <c r="G116" s="2"/>
      <c r="H116" s="2"/>
      <c r="I116" s="2">
        <v>81500</v>
      </c>
      <c r="J116" s="2">
        <v>82482</v>
      </c>
      <c r="K116">
        <v>11.7</v>
      </c>
    </row>
    <row r="117" spans="3:11">
      <c r="C117">
        <v>2013</v>
      </c>
      <c r="D117" s="83">
        <v>458982</v>
      </c>
      <c r="E117" s="2">
        <v>74564</v>
      </c>
      <c r="F117" s="2"/>
      <c r="G117" s="2"/>
      <c r="H117" s="2"/>
      <c r="I117" s="2">
        <v>83439</v>
      </c>
      <c r="J117" s="2">
        <v>85530</v>
      </c>
      <c r="K117">
        <v>11.9</v>
      </c>
    </row>
    <row r="118" spans="3:11">
      <c r="C118">
        <v>2014</v>
      </c>
      <c r="D118" s="83">
        <v>466856</v>
      </c>
      <c r="E118" s="2">
        <v>75942</v>
      </c>
      <c r="F118" s="2"/>
      <c r="G118" s="2"/>
      <c r="H118" s="2"/>
      <c r="I118" s="2">
        <v>85400</v>
      </c>
      <c r="J118" s="2">
        <v>88848</v>
      </c>
      <c r="K118">
        <v>12.5</v>
      </c>
    </row>
    <row r="119" spans="3:11">
      <c r="C119">
        <v>2015</v>
      </c>
      <c r="D119" s="83">
        <v>472966</v>
      </c>
      <c r="E119" s="2">
        <v>77214</v>
      </c>
      <c r="F119" s="2"/>
      <c r="G119" s="2"/>
      <c r="H119" s="2"/>
      <c r="I119" s="2">
        <v>88848</v>
      </c>
      <c r="J119" s="2">
        <v>93568</v>
      </c>
      <c r="K119">
        <v>15.1</v>
      </c>
    </row>
    <row r="120" spans="3:11">
      <c r="C120">
        <v>2016</v>
      </c>
      <c r="D120" s="83">
        <v>478337</v>
      </c>
      <c r="E120" s="2">
        <v>78398</v>
      </c>
      <c r="F120" s="2"/>
      <c r="G120" s="2"/>
      <c r="H120" s="2"/>
      <c r="I120" s="2">
        <v>93812</v>
      </c>
      <c r="J120" s="2">
        <v>95250</v>
      </c>
      <c r="K120">
        <v>19.7</v>
      </c>
    </row>
    <row r="121" spans="3:11">
      <c r="C121">
        <v>2017</v>
      </c>
      <c r="D121" s="83">
        <v>483034</v>
      </c>
      <c r="E121" s="2">
        <v>79442</v>
      </c>
      <c r="F121" s="2"/>
      <c r="G121" s="2"/>
      <c r="H121" s="2"/>
      <c r="I121" s="2">
        <v>95682</v>
      </c>
      <c r="J121" s="2">
        <v>95682</v>
      </c>
      <c r="K121">
        <v>20.399999999999999</v>
      </c>
    </row>
    <row r="122" spans="3:11">
      <c r="C122">
        <v>2018</v>
      </c>
      <c r="D122" s="83">
        <v>487219</v>
      </c>
      <c r="E122" s="2">
        <v>80174</v>
      </c>
      <c r="F122" s="2"/>
      <c r="G122" s="2"/>
      <c r="H122" s="2"/>
      <c r="I122" s="2">
        <v>95682</v>
      </c>
      <c r="J122" s="2">
        <v>97082</v>
      </c>
      <c r="K122">
        <v>19.3</v>
      </c>
    </row>
    <row r="123" spans="3:11">
      <c r="C123">
        <v>2019</v>
      </c>
      <c r="D123" s="83">
        <v>491214</v>
      </c>
      <c r="E123" s="2">
        <v>80789</v>
      </c>
      <c r="F123" s="2"/>
      <c r="G123" s="2"/>
      <c r="H123" s="2"/>
      <c r="I123" s="2">
        <v>97082</v>
      </c>
      <c r="J123" s="2">
        <v>98791</v>
      </c>
      <c r="K123">
        <v>20.2</v>
      </c>
    </row>
    <row r="124" spans="3:11">
      <c r="C124">
        <v>2020</v>
      </c>
      <c r="D124" s="83">
        <v>494527</v>
      </c>
      <c r="E124" s="2">
        <v>81151</v>
      </c>
      <c r="F124" s="2"/>
      <c r="G124" s="2"/>
      <c r="H124" s="2"/>
      <c r="I124" s="2">
        <v>100191</v>
      </c>
      <c r="J124" s="2">
        <v>100191</v>
      </c>
      <c r="K124">
        <v>23.5</v>
      </c>
    </row>
  </sheetData>
  <mergeCells count="34">
    <mergeCell ref="A1:D1"/>
    <mergeCell ref="A2:D2"/>
    <mergeCell ref="Z4:Z5"/>
    <mergeCell ref="AA4:AA5"/>
    <mergeCell ref="AB4:AD4"/>
    <mergeCell ref="A5:B6"/>
    <mergeCell ref="Z6:AA6"/>
    <mergeCell ref="AE4:AF4"/>
    <mergeCell ref="AG4:AH4"/>
    <mergeCell ref="AI4:AJ4"/>
    <mergeCell ref="AK4:AL4"/>
    <mergeCell ref="AM4:AN4"/>
    <mergeCell ref="A7:B8"/>
    <mergeCell ref="Z7:AA7"/>
    <mergeCell ref="Z8:AA8"/>
    <mergeCell ref="A9:B10"/>
    <mergeCell ref="Z9:AA9"/>
    <mergeCell ref="Z10:AA10"/>
    <mergeCell ref="A11:B12"/>
    <mergeCell ref="Z11:AA11"/>
    <mergeCell ref="Z12:AA12"/>
    <mergeCell ref="A13:B14"/>
    <mergeCell ref="Z13:AA13"/>
    <mergeCell ref="Z14:AA14"/>
    <mergeCell ref="A15:B16"/>
    <mergeCell ref="Z15:AA15"/>
    <mergeCell ref="A17:B18"/>
    <mergeCell ref="A19:B20"/>
    <mergeCell ref="A21:B22"/>
    <mergeCell ref="E112:J112"/>
    <mergeCell ref="E51:J51"/>
    <mergeCell ref="A23:B24"/>
    <mergeCell ref="J32:O32"/>
    <mergeCell ref="J33:O33"/>
  </mergeCells>
  <hyperlinks>
    <hyperlink ref="B101" r:id="rId1"/>
    <hyperlink ref="M80" r:id="rId2"/>
    <hyperlink ref="O47" r:id="rId3"/>
    <hyperlink ref="N63" r:id="rId4" display="http://steps.ucdavis.edu/People/bdjungers/Plug-In Hybrid Electric Vehicles - Promise, Issues, and Prospects.pdf"/>
  </hyperlinks>
  <pageMargins left="0.7" right="0.7" top="0.75" bottom="0.75" header="0.3" footer="0.3"/>
  <pageSetup orientation="portrait"/>
  <drawing r:id="rId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0" sqref="C40"/>
    </sheetView>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0"/>
  <sheetViews>
    <sheetView workbookViewId="0">
      <selection activeCell="J44" sqref="J44"/>
    </sheetView>
  </sheetViews>
  <sheetFormatPr baseColWidth="10" defaultColWidth="8.83203125" defaultRowHeight="14" x14ac:dyDescent="0"/>
  <cols>
    <col min="3" max="3" width="12.1640625" bestFit="1" customWidth="1"/>
    <col min="4" max="5" width="14.5" bestFit="1" customWidth="1"/>
    <col min="6" max="6" width="10.1640625" bestFit="1" customWidth="1"/>
    <col min="7" max="7" width="11.1640625" bestFit="1" customWidth="1"/>
  </cols>
  <sheetData>
    <row r="2" spans="2:7">
      <c r="B2">
        <v>35000</v>
      </c>
    </row>
    <row r="3" spans="2:7">
      <c r="B3">
        <v>30000</v>
      </c>
    </row>
    <row r="4" spans="2:7">
      <c r="B4">
        <v>25000</v>
      </c>
    </row>
    <row r="5" spans="2:7">
      <c r="B5">
        <v>20000</v>
      </c>
    </row>
    <row r="6" spans="2:7">
      <c r="B6">
        <v>15000</v>
      </c>
    </row>
    <row r="7" spans="2:7">
      <c r="B7">
        <v>10000</v>
      </c>
    </row>
    <row r="8" spans="2:7">
      <c r="B8">
        <v>5000</v>
      </c>
    </row>
    <row r="9" spans="2:7">
      <c r="B9">
        <v>0</v>
      </c>
    </row>
    <row r="11" spans="2:7">
      <c r="C11" t="s">
        <v>452</v>
      </c>
    </row>
    <row r="12" spans="2:7">
      <c r="D12" t="s">
        <v>446</v>
      </c>
      <c r="E12" t="s">
        <v>447</v>
      </c>
      <c r="F12" t="s">
        <v>445</v>
      </c>
      <c r="G12" t="s">
        <v>451</v>
      </c>
    </row>
    <row r="13" spans="2:7">
      <c r="C13" t="s">
        <v>450</v>
      </c>
      <c r="D13" t="s">
        <v>448</v>
      </c>
      <c r="E13" t="s">
        <v>449</v>
      </c>
      <c r="F13" t="s">
        <v>444</v>
      </c>
      <c r="G13">
        <f>33*5</f>
        <v>165</v>
      </c>
    </row>
    <row r="14" spans="2:7">
      <c r="B14">
        <v>2009</v>
      </c>
      <c r="C14" s="247">
        <f t="shared" ref="C14:C21" si="0">F14/33</f>
        <v>1010.0909090909091</v>
      </c>
      <c r="D14" s="247">
        <f>C14*66</f>
        <v>66666</v>
      </c>
      <c r="E14" s="247">
        <f>C14*99</f>
        <v>99999</v>
      </c>
      <c r="F14" s="247">
        <v>33333</v>
      </c>
      <c r="G14" s="73">
        <f>C14*165</f>
        <v>166665</v>
      </c>
    </row>
    <row r="15" spans="2:7">
      <c r="B15">
        <v>2012</v>
      </c>
      <c r="C15" s="247">
        <f t="shared" si="0"/>
        <v>505.06060606060606</v>
      </c>
      <c r="D15" s="247">
        <f t="shared" ref="D15:D21" si="1">C15*66</f>
        <v>33334</v>
      </c>
      <c r="E15" s="247">
        <f t="shared" ref="E15:E21" si="2">C15*99</f>
        <v>50001</v>
      </c>
      <c r="F15" s="247">
        <v>16667</v>
      </c>
      <c r="G15" s="73">
        <f t="shared" ref="G15:G21" si="3">C15*165</f>
        <v>83335</v>
      </c>
    </row>
    <row r="16" spans="2:7">
      <c r="B16">
        <v>2015</v>
      </c>
      <c r="C16" s="247">
        <f t="shared" si="0"/>
        <v>303.030303030303</v>
      </c>
      <c r="D16" s="247">
        <f t="shared" si="1"/>
        <v>20000</v>
      </c>
      <c r="E16" s="247">
        <f t="shared" si="2"/>
        <v>29999.999999999996</v>
      </c>
      <c r="F16" s="247">
        <v>10000</v>
      </c>
      <c r="G16" s="73">
        <f t="shared" si="3"/>
        <v>49999.999999999993</v>
      </c>
    </row>
    <row r="17" spans="2:11">
      <c r="B17">
        <v>2018</v>
      </c>
      <c r="C17" s="247">
        <f t="shared" si="0"/>
        <v>227.27272727272728</v>
      </c>
      <c r="D17" s="247">
        <f t="shared" si="1"/>
        <v>15000</v>
      </c>
      <c r="E17" s="247">
        <f t="shared" si="2"/>
        <v>22500</v>
      </c>
      <c r="F17" s="247">
        <v>7500</v>
      </c>
      <c r="G17" s="73">
        <f t="shared" si="3"/>
        <v>37500</v>
      </c>
    </row>
    <row r="18" spans="2:11">
      <c r="B18">
        <v>2021</v>
      </c>
      <c r="C18" s="247">
        <f t="shared" si="0"/>
        <v>151.5151515151515</v>
      </c>
      <c r="D18" s="247">
        <f t="shared" si="1"/>
        <v>10000</v>
      </c>
      <c r="E18" s="247">
        <f t="shared" si="2"/>
        <v>14999.999999999998</v>
      </c>
      <c r="F18" s="247">
        <v>5000</v>
      </c>
      <c r="G18" s="73">
        <f t="shared" si="3"/>
        <v>24999.999999999996</v>
      </c>
      <c r="K18" s="73"/>
    </row>
    <row r="19" spans="2:11">
      <c r="B19">
        <v>2024</v>
      </c>
      <c r="C19" s="247">
        <f t="shared" si="0"/>
        <v>134.67676767676767</v>
      </c>
      <c r="D19" s="247">
        <f t="shared" si="1"/>
        <v>8888.6666666666661</v>
      </c>
      <c r="E19" s="247">
        <f t="shared" si="2"/>
        <v>13333</v>
      </c>
      <c r="F19" s="247">
        <f>F18-J24</f>
        <v>4444.333333333333</v>
      </c>
      <c r="G19" s="73">
        <f t="shared" si="3"/>
        <v>22221.666666666664</v>
      </c>
      <c r="H19">
        <v>5000</v>
      </c>
    </row>
    <row r="20" spans="2:11">
      <c r="B20">
        <v>2027</v>
      </c>
      <c r="C20" s="247">
        <f t="shared" si="0"/>
        <v>117.83838383838383</v>
      </c>
      <c r="D20" s="247">
        <f t="shared" si="1"/>
        <v>7777.333333333333</v>
      </c>
      <c r="E20" s="247">
        <f t="shared" si="2"/>
        <v>11666</v>
      </c>
      <c r="F20" s="247">
        <f>F19-J24</f>
        <v>3888.6666666666665</v>
      </c>
      <c r="G20" s="73">
        <f t="shared" si="3"/>
        <v>19443.333333333332</v>
      </c>
      <c r="H20">
        <v>3333</v>
      </c>
    </row>
    <row r="21" spans="2:11">
      <c r="B21">
        <v>2030</v>
      </c>
      <c r="C21" s="247">
        <f t="shared" si="0"/>
        <v>101</v>
      </c>
      <c r="D21" s="247">
        <f t="shared" si="1"/>
        <v>6666</v>
      </c>
      <c r="E21" s="247">
        <f t="shared" si="2"/>
        <v>9999</v>
      </c>
      <c r="F21" s="247">
        <v>3333</v>
      </c>
      <c r="G21" s="73">
        <f t="shared" si="3"/>
        <v>16665</v>
      </c>
    </row>
    <row r="23" spans="2:11">
      <c r="C23" t="s">
        <v>450</v>
      </c>
      <c r="D23" t="s">
        <v>453</v>
      </c>
      <c r="F23" t="s">
        <v>444</v>
      </c>
    </row>
    <row r="24" spans="2:11">
      <c r="B24">
        <v>2009</v>
      </c>
      <c r="C24" s="247">
        <f t="shared" ref="C24:C31" si="4">F24/33</f>
        <v>1010.0909090909091</v>
      </c>
      <c r="D24">
        <v>500</v>
      </c>
      <c r="E24">
        <f>D24*99</f>
        <v>49500</v>
      </c>
      <c r="F24" s="247">
        <v>33333</v>
      </c>
      <c r="H24">
        <f>H19-H20</f>
        <v>1667</v>
      </c>
      <c r="J24">
        <f>H24/3</f>
        <v>555.66666666666663</v>
      </c>
    </row>
    <row r="25" spans="2:11">
      <c r="B25">
        <v>2012</v>
      </c>
      <c r="C25" s="247">
        <f t="shared" si="4"/>
        <v>505.06060606060606</v>
      </c>
      <c r="D25">
        <v>350</v>
      </c>
      <c r="E25">
        <f t="shared" ref="E25:E26" si="5">D25*99</f>
        <v>34650</v>
      </c>
      <c r="F25" s="247">
        <v>16667</v>
      </c>
    </row>
    <row r="26" spans="2:11">
      <c r="B26">
        <v>2015</v>
      </c>
      <c r="C26" s="247">
        <f t="shared" si="4"/>
        <v>303.030303030303</v>
      </c>
      <c r="D26">
        <v>303</v>
      </c>
      <c r="E26">
        <f t="shared" si="5"/>
        <v>29997</v>
      </c>
      <c r="F26" s="247">
        <v>10000</v>
      </c>
    </row>
    <row r="27" spans="2:11">
      <c r="B27">
        <v>2018</v>
      </c>
      <c r="C27" s="247">
        <f t="shared" si="4"/>
        <v>227.27272727272728</v>
      </c>
      <c r="E27" s="247">
        <f>H27/33</f>
        <v>0</v>
      </c>
      <c r="F27" s="247">
        <v>7500</v>
      </c>
    </row>
    <row r="28" spans="2:11">
      <c r="B28">
        <v>2021</v>
      </c>
      <c r="C28" s="247">
        <f t="shared" si="4"/>
        <v>151.5151515151515</v>
      </c>
      <c r="E28" s="247">
        <f>H28/33</f>
        <v>0</v>
      </c>
      <c r="F28" s="247">
        <v>5000</v>
      </c>
    </row>
    <row r="29" spans="2:11">
      <c r="B29">
        <v>2024</v>
      </c>
      <c r="C29" s="247">
        <f t="shared" si="4"/>
        <v>151.5151515151515</v>
      </c>
      <c r="E29" s="247">
        <f>H29/33</f>
        <v>0</v>
      </c>
      <c r="F29" s="247">
        <f>F28-I33</f>
        <v>5000</v>
      </c>
    </row>
    <row r="30" spans="2:11">
      <c r="B30">
        <v>2027</v>
      </c>
      <c r="C30" s="247">
        <f t="shared" si="4"/>
        <v>151.5151515151515</v>
      </c>
      <c r="E30" s="247">
        <f>H30/33</f>
        <v>0</v>
      </c>
      <c r="F30" s="247">
        <f>F29-I33</f>
        <v>5000</v>
      </c>
    </row>
    <row r="31" spans="2:11">
      <c r="B31">
        <v>2030</v>
      </c>
      <c r="C31" s="247">
        <f t="shared" si="4"/>
        <v>101</v>
      </c>
      <c r="E31" s="247">
        <f>H31/33</f>
        <v>0</v>
      </c>
      <c r="F31" s="247">
        <v>3333</v>
      </c>
    </row>
    <row r="48" spans="4:4">
      <c r="D48" t="s">
        <v>33</v>
      </c>
    </row>
    <row r="49" spans="4:4">
      <c r="D49" s="1" t="s">
        <v>454</v>
      </c>
    </row>
    <row r="50" spans="4:4">
      <c r="D50" s="1" t="s">
        <v>455</v>
      </c>
    </row>
  </sheetData>
  <hyperlinks>
    <hyperlink ref="D49" r:id="rId1"/>
    <hyperlink ref="D50" r:id="rId2"/>
  </hyperlinks>
  <pageMargins left="0.7" right="0.7" top="0.75" bottom="0.75" header="0.3" footer="0.3"/>
  <pageSetup orientation="portrait"/>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EV Analysis Per Mile Compared</vt:lpstr>
      <vt:lpstr>Peak Demand EVs</vt:lpstr>
      <vt:lpstr>EV Infrastructure Costs</vt:lpstr>
      <vt:lpstr>Consumer Fuel Costs</vt:lpstr>
      <vt:lpstr>Environmental Costs</vt:lpstr>
      <vt:lpstr>DOE Projections</vt:lpstr>
    </vt:vector>
  </TitlesOfParts>
  <Company>KEEI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Kevin Kane</cp:lastModifiedBy>
  <dcterms:created xsi:type="dcterms:W3CDTF">2010-06-09T14:12:28Z</dcterms:created>
  <dcterms:modified xsi:type="dcterms:W3CDTF">2015-10-09T06:43:36Z</dcterms:modified>
</cp:coreProperties>
</file>